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mc:AlternateContent xmlns:mc="http://schemas.openxmlformats.org/markup-compatibility/2006">
    <mc:Choice Requires="x15">
      <x15ac:absPath xmlns:x15ac="http://schemas.microsoft.com/office/spreadsheetml/2010/11/ac" url="https://keuruu-my.sharepoint.com/personal/mikko_kakkonen_keuruu_fi/Documents/Personal/RPG/rope/"/>
    </mc:Choice>
  </mc:AlternateContent>
  <xr:revisionPtr revIDLastSave="0" documentId="8_{BC459693-ADF6-4822-9DB7-E4497D437AD7}" xr6:coauthVersionLast="47" xr6:coauthVersionMax="47" xr10:uidLastSave="{00000000-0000-0000-0000-000000000000}"/>
  <bookViews>
    <workbookView xWindow="-120" yWindow="-120" windowWidth="38640" windowHeight="21120" xr2:uid="{00000000-000D-0000-FFFF-FFFF00000000}"/>
  </bookViews>
  <sheets>
    <sheet name="Changelog" sheetId="9" r:id="rId1"/>
    <sheet name="Ohjeet" sheetId="1" r:id="rId2"/>
    <sheet name="Stats" sheetId="2" r:id="rId3"/>
    <sheet name="Skills" sheetId="3" r:id="rId4"/>
    <sheet name="Professions" sheetId="4" r:id="rId5"/>
    <sheet name="Races" sheetId="17" r:id="rId6"/>
    <sheet name="HW" sheetId="5" r:id="rId7"/>
    <sheet name="TF" sheetId="6" r:id="rId8"/>
    <sheet name="EQ" sheetId="15" r:id="rId9"/>
    <sheet name="RC" sheetId="7" r:id="rId10"/>
    <sheet name="Racial Talents" sheetId="8" r:id="rId11"/>
    <sheet name="Taul1" sheetId="18" r:id="rId12"/>
  </sheets>
  <definedNames>
    <definedName name="Alignment">Professions!$B$252:$B$260</definedName>
    <definedName name="Eyes">Professions!#REF!</definedName>
    <definedName name="Flaws">TF!$E$1:$E$197</definedName>
    <definedName name="Hair">Professions!#REF!</definedName>
    <definedName name="Powers">Professions!$F$203:$F$224</definedName>
    <definedName name="Professions">Professions!$F$2:$CV$2</definedName>
    <definedName name="Races">Professions!#REF!</definedName>
    <definedName name="Skin">Professions!#REF!</definedName>
    <definedName name="Talents">TF!$A$1:$A$278</definedName>
    <definedName name="TPs">Professions!$E$257:$E$383</definedName>
    <definedName name="_xlnm.Print_Area" localSheetId="1">Ohjeet!$A$1:$K$102</definedName>
    <definedName name="_xlnm.Print_Area" localSheetId="3">Skills!$A$2:$K$377</definedName>
    <definedName name="_xlnm.Print_Area" localSheetId="2">Stats!$A$1:$I$186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2" i="2" l="1"/>
  <c r="C87" i="3"/>
  <c r="D87" i="3"/>
  <c r="F87" i="3"/>
  <c r="F69" i="15"/>
  <c r="F68" i="15"/>
  <c r="F67" i="15"/>
  <c r="F66" i="15"/>
  <c r="F64" i="15"/>
  <c r="F62" i="15"/>
  <c r="F56" i="15"/>
  <c r="F54" i="15"/>
  <c r="F52" i="15"/>
  <c r="F50" i="15"/>
  <c r="F49" i="15"/>
  <c r="F48" i="15"/>
  <c r="F47" i="15"/>
  <c r="F46" i="15"/>
  <c r="F45" i="15"/>
  <c r="F44" i="15"/>
  <c r="F43" i="15"/>
  <c r="F38" i="15"/>
  <c r="F32" i="15"/>
  <c r="F31" i="15"/>
  <c r="F23" i="15"/>
  <c r="F22" i="15"/>
  <c r="F21" i="15"/>
  <c r="F15" i="15"/>
  <c r="F14" i="15"/>
  <c r="F13" i="15"/>
  <c r="F12" i="15"/>
  <c r="F11" i="15"/>
  <c r="F10" i="15"/>
  <c r="F8" i="15"/>
  <c r="F3" i="15"/>
  <c r="F72" i="15"/>
  <c r="F71" i="15"/>
  <c r="J152" i="2"/>
  <c r="J153" i="2"/>
  <c r="J154" i="2"/>
  <c r="J155" i="2"/>
  <c r="J156" i="2"/>
  <c r="J157" i="2"/>
  <c r="J158" i="2"/>
  <c r="J159" i="2"/>
  <c r="J160" i="2"/>
  <c r="J161" i="2"/>
  <c r="J162" i="2"/>
  <c r="F150" i="2"/>
  <c r="G150" i="2"/>
  <c r="F151" i="2"/>
  <c r="G151" i="2"/>
  <c r="F152" i="2"/>
  <c r="G152" i="2"/>
  <c r="F153" i="2"/>
  <c r="G153" i="2"/>
  <c r="F154" i="2"/>
  <c r="G154" i="2"/>
  <c r="F155" i="2"/>
  <c r="G155" i="2"/>
  <c r="F156" i="2"/>
  <c r="G156" i="2"/>
  <c r="F157" i="2"/>
  <c r="G157" i="2"/>
  <c r="F158" i="2"/>
  <c r="G158" i="2"/>
  <c r="F159" i="2"/>
  <c r="G159" i="2"/>
  <c r="F160" i="2"/>
  <c r="G160" i="2"/>
  <c r="F161" i="2"/>
  <c r="G161" i="2"/>
  <c r="F162" i="2"/>
  <c r="G162" i="2"/>
  <c r="C150" i="2"/>
  <c r="C151" i="2"/>
  <c r="C152" i="2"/>
  <c r="C153" i="2"/>
  <c r="C154" i="2"/>
  <c r="C155" i="2"/>
  <c r="C156" i="2"/>
  <c r="C157" i="2"/>
  <c r="C158" i="2"/>
  <c r="C159" i="2"/>
  <c r="C160" i="2"/>
  <c r="C161" i="2"/>
  <c r="C162" i="2"/>
  <c r="B6" i="2" l="1"/>
  <c r="I7" i="2"/>
  <c r="H7" i="2"/>
  <c r="H6" i="2"/>
  <c r="I6" i="2"/>
  <c r="G7" i="2"/>
  <c r="F7" i="2"/>
  <c r="EA4" i="4" l="1"/>
  <c r="EA5" i="4" s="1"/>
  <c r="EA6" i="4" s="1"/>
  <c r="EA7" i="4" s="1"/>
  <c r="EA8" i="4" s="1"/>
  <c r="EA9" i="4" s="1"/>
  <c r="EA10" i="4" s="1"/>
  <c r="EA11" i="4" s="1"/>
  <c r="EA12" i="4" s="1"/>
  <c r="EA13" i="4" s="1"/>
  <c r="EA14" i="4" s="1"/>
  <c r="EA15" i="4" s="1"/>
  <c r="EA16" i="4" s="1"/>
  <c r="EA17" i="4" s="1"/>
  <c r="EA18" i="4" s="1"/>
  <c r="EA19" i="4" s="1"/>
  <c r="EA20" i="4" s="1"/>
  <c r="EA21" i="4" s="1"/>
  <c r="EA22" i="4" s="1"/>
  <c r="EA23" i="4" s="1"/>
  <c r="EA24" i="4" s="1"/>
  <c r="EA25" i="4" s="1"/>
  <c r="EA26" i="4" s="1"/>
  <c r="EA27" i="4" s="1"/>
  <c r="EA28" i="4" s="1"/>
  <c r="EA29" i="4" s="1"/>
  <c r="EA30" i="4" s="1"/>
  <c r="EA31" i="4" s="1"/>
  <c r="EA32" i="4" s="1"/>
  <c r="EA33" i="4" s="1"/>
  <c r="EA34" i="4" s="1"/>
  <c r="EA35" i="4" s="1"/>
  <c r="EA36" i="4" s="1"/>
  <c r="EA37" i="4" s="1"/>
  <c r="EA38" i="4" s="1"/>
  <c r="EA39" i="4" s="1"/>
  <c r="EA40" i="4" s="1"/>
  <c r="EA41" i="4" s="1"/>
  <c r="EA42" i="4" s="1"/>
  <c r="EA43" i="4" s="1"/>
  <c r="EA44" i="4" s="1"/>
  <c r="EA45" i="4" s="1"/>
  <c r="EA46" i="4" s="1"/>
  <c r="EA47" i="4" s="1"/>
  <c r="EA48" i="4" s="1"/>
  <c r="EA49" i="4" s="1"/>
  <c r="EA50" i="4" s="1"/>
  <c r="EA51" i="4" s="1"/>
  <c r="EA52" i="4" s="1"/>
  <c r="EA53" i="4" s="1"/>
  <c r="EA54" i="4" s="1"/>
  <c r="EA55" i="4" s="1"/>
  <c r="EA56" i="4" s="1"/>
  <c r="EA57" i="4" s="1"/>
  <c r="EA58" i="4" s="1"/>
  <c r="EA59" i="4" s="1"/>
  <c r="EA60" i="4" s="1"/>
  <c r="EA61" i="4" s="1"/>
  <c r="EA62" i="4" s="1"/>
  <c r="EA63" i="4" s="1"/>
  <c r="EA64" i="4" s="1"/>
  <c r="EA65" i="4" s="1"/>
  <c r="EA66" i="4" s="1"/>
  <c r="EA67" i="4" s="1"/>
  <c r="EA68" i="4" s="1"/>
  <c r="EA69" i="4" s="1"/>
  <c r="EA70" i="4" s="1"/>
  <c r="EA71" i="4" s="1"/>
  <c r="EA72" i="4" s="1"/>
  <c r="EA73" i="4" s="1"/>
  <c r="EA74" i="4" s="1"/>
  <c r="EA75" i="4" s="1"/>
  <c r="EA76" i="4" s="1"/>
  <c r="EA77" i="4" s="1"/>
  <c r="EA78" i="4" s="1"/>
  <c r="EA79" i="4" s="1"/>
  <c r="EA80" i="4" s="1"/>
  <c r="EA81" i="4" s="1"/>
  <c r="EA82" i="4" s="1"/>
  <c r="EA83" i="4" s="1"/>
  <c r="EA84" i="4" s="1"/>
  <c r="EA85" i="4" s="1"/>
  <c r="EA86" i="4" s="1"/>
  <c r="EA87" i="4" s="1"/>
  <c r="EA88" i="4" s="1"/>
  <c r="EA89" i="4" s="1"/>
  <c r="EA90" i="4" s="1"/>
  <c r="EA91" i="4" s="1"/>
  <c r="EA92" i="4" s="1"/>
  <c r="EA93" i="4" s="1"/>
  <c r="EA94" i="4" s="1"/>
  <c r="EA95" i="4" s="1"/>
  <c r="EA96" i="4" s="1"/>
  <c r="EA97" i="4" s="1"/>
  <c r="EA98" i="4" s="1"/>
  <c r="EA99" i="4" s="1"/>
  <c r="EA100" i="4" s="1"/>
  <c r="EA101" i="4" s="1"/>
  <c r="EA102" i="4" s="1"/>
  <c r="EA103" i="4" s="1"/>
  <c r="EA104" i="4" s="1"/>
  <c r="EA105" i="4" s="1"/>
  <c r="EA106" i="4" s="1"/>
  <c r="EA107" i="4" s="1"/>
  <c r="EA108" i="4" s="1"/>
  <c r="EA109" i="4" s="1"/>
  <c r="EA110" i="4" s="1"/>
  <c r="EA111" i="4" s="1"/>
  <c r="EA112" i="4" s="1"/>
  <c r="EA113" i="4" s="1"/>
  <c r="EA114" i="4" s="1"/>
  <c r="EA115" i="4" s="1"/>
  <c r="EA116" i="4" s="1"/>
  <c r="EA117" i="4" s="1"/>
  <c r="EA118" i="4" s="1"/>
  <c r="EA119" i="4" s="1"/>
  <c r="EA120" i="4" s="1"/>
  <c r="EA121" i="4" s="1"/>
  <c r="EA122" i="4" s="1"/>
  <c r="EA123" i="4" s="1"/>
  <c r="EA124" i="4" s="1"/>
  <c r="EA125" i="4" s="1"/>
  <c r="EA126" i="4" s="1"/>
  <c r="EA127" i="4" s="1"/>
  <c r="EA128" i="4" s="1"/>
  <c r="EA129" i="4" s="1"/>
  <c r="EA130" i="4" s="1"/>
  <c r="EA131" i="4" s="1"/>
  <c r="EA132" i="4" s="1"/>
  <c r="EA133" i="4" s="1"/>
  <c r="EA134" i="4" s="1"/>
  <c r="EA135" i="4" s="1"/>
  <c r="EA136" i="4" s="1"/>
  <c r="EA137" i="4" s="1"/>
  <c r="EA138" i="4" s="1"/>
  <c r="EA139" i="4" s="1"/>
  <c r="EA140" i="4" s="1"/>
  <c r="EA141" i="4" s="1"/>
  <c r="EA142" i="4" s="1"/>
  <c r="EA143" i="4" s="1"/>
  <c r="EA144" i="4" s="1"/>
  <c r="EA145" i="4" s="1"/>
  <c r="EA146" i="4" s="1"/>
  <c r="EA147" i="4" s="1"/>
  <c r="EA148" i="4" s="1"/>
  <c r="EA149" i="4" s="1"/>
  <c r="EA150" i="4" s="1"/>
  <c r="EA151" i="4" s="1"/>
  <c r="EA152" i="4" s="1"/>
  <c r="EA153" i="4" s="1"/>
  <c r="EA154" i="4" s="1"/>
  <c r="EA155" i="4" s="1"/>
  <c r="EA156" i="4" s="1"/>
  <c r="EA157" i="4" s="1"/>
  <c r="EA158" i="4" s="1"/>
  <c r="EA159" i="4" s="1"/>
  <c r="EA160" i="4" s="1"/>
  <c r="EA161" i="4" s="1"/>
  <c r="EA162" i="4" s="1"/>
  <c r="EA163" i="4" s="1"/>
  <c r="EA164" i="4" s="1"/>
  <c r="EA165" i="4" s="1"/>
  <c r="EA166" i="4" s="1"/>
  <c r="EA167" i="4" s="1"/>
  <c r="EA168" i="4" s="1"/>
  <c r="EA169" i="4" s="1"/>
  <c r="EA170" i="4" s="1"/>
  <c r="EA171" i="4" s="1"/>
  <c r="EA172" i="4" s="1"/>
  <c r="EA173" i="4" s="1"/>
  <c r="EA174" i="4" s="1"/>
  <c r="EA175" i="4" s="1"/>
  <c r="EA176" i="4" s="1"/>
  <c r="EA177" i="4" s="1"/>
  <c r="EA178" i="4" s="1"/>
  <c r="EA179" i="4" s="1"/>
  <c r="EA180" i="4" s="1"/>
  <c r="EA181" i="4" s="1"/>
  <c r="EA182" i="4" s="1"/>
  <c r="EA183" i="4" s="1"/>
  <c r="EA184" i="4" s="1"/>
  <c r="EA185" i="4" s="1"/>
  <c r="EA186" i="4" s="1"/>
  <c r="EA187" i="4" s="1"/>
  <c r="EA188" i="4" s="1"/>
  <c r="EA189" i="4" s="1"/>
  <c r="EA190" i="4" s="1"/>
  <c r="EA191" i="4" s="1"/>
  <c r="EA192" i="4" s="1"/>
  <c r="EA193" i="4" s="1"/>
  <c r="EA194" i="4" s="1"/>
  <c r="EA195" i="4" s="1"/>
  <c r="EA196" i="4" s="1"/>
  <c r="EA197" i="4" s="1"/>
  <c r="EA198" i="4" s="1"/>
  <c r="EA199" i="4" s="1"/>
  <c r="EA200" i="4" s="1"/>
  <c r="EA201" i="4" s="1"/>
  <c r="EA202" i="4" s="1"/>
  <c r="C108" i="5"/>
  <c r="BT146" i="5"/>
  <c r="BT143" i="5"/>
  <c r="BT16" i="5"/>
  <c r="BT15" i="5" s="1"/>
  <c r="BT14" i="5" s="1"/>
  <c r="BT13" i="5" s="1"/>
  <c r="BT12" i="5" s="1"/>
  <c r="BT11" i="5" s="1"/>
  <c r="BT10" i="5" s="1"/>
  <c r="BT9" i="5" s="1"/>
  <c r="BT8" i="5" s="1"/>
  <c r="BT7" i="5" s="1"/>
  <c r="BT6" i="5" s="1"/>
  <c r="BT5" i="5" s="1"/>
  <c r="BT4" i="5" s="1"/>
  <c r="BT18" i="5"/>
  <c r="BT19" i="5" s="1"/>
  <c r="BT20" i="5" s="1"/>
  <c r="BT21" i="5" s="1"/>
  <c r="BT22" i="5" s="1"/>
  <c r="BT23" i="5" s="1"/>
  <c r="BT24" i="5" s="1"/>
  <c r="BT25" i="5" s="1"/>
  <c r="BT26" i="5" s="1"/>
  <c r="BT27" i="5" s="1"/>
  <c r="BT28" i="5" s="1"/>
  <c r="BT29" i="5" s="1"/>
  <c r="BT30" i="5" s="1"/>
  <c r="BT31" i="5" s="1"/>
  <c r="BS146" i="5"/>
  <c r="BS148" i="5" s="1"/>
  <c r="BS151" i="5" s="1"/>
  <c r="BS152" i="5" s="1"/>
  <c r="BS143" i="5"/>
  <c r="BS18" i="5"/>
  <c r="BS19" i="5" s="1"/>
  <c r="BS20" i="5" s="1"/>
  <c r="BS21" i="5" s="1"/>
  <c r="BS22" i="5" s="1"/>
  <c r="BS23" i="5" s="1"/>
  <c r="BS24" i="5" s="1"/>
  <c r="BS25" i="5" s="1"/>
  <c r="BS26" i="5" s="1"/>
  <c r="BS27" i="5" s="1"/>
  <c r="BS28" i="5" s="1"/>
  <c r="BS29" i="5" s="1"/>
  <c r="BS30" i="5" s="1"/>
  <c r="BS31" i="5" s="1"/>
  <c r="BS16" i="5"/>
  <c r="BS15" i="5" s="1"/>
  <c r="BS14" i="5" s="1"/>
  <c r="BS13" i="5" s="1"/>
  <c r="BS12" i="5" s="1"/>
  <c r="BS11" i="5" s="1"/>
  <c r="BS10" i="5" s="1"/>
  <c r="BS9" i="5" s="1"/>
  <c r="BS8" i="5" s="1"/>
  <c r="BS7" i="5" s="1"/>
  <c r="BS6" i="5" s="1"/>
  <c r="BS5" i="5" s="1"/>
  <c r="BS4" i="5" s="1"/>
  <c r="BR143" i="5"/>
  <c r="BR17" i="5" s="1"/>
  <c r="BR146" i="5"/>
  <c r="BR148" i="5" s="1"/>
  <c r="BR151" i="5" s="1"/>
  <c r="BR152" i="5" s="1"/>
  <c r="O349" i="3"/>
  <c r="O350" i="3"/>
  <c r="O351" i="3"/>
  <c r="P7" i="18"/>
  <c r="O11" i="18"/>
  <c r="O4" i="18"/>
  <c r="O8" i="18" s="1"/>
  <c r="BR18" i="5" l="1"/>
  <c r="BR19" i="5" s="1"/>
  <c r="BR20" i="5" s="1"/>
  <c r="BR21" i="5" s="1"/>
  <c r="BR22" i="5" s="1"/>
  <c r="BR23" i="5" s="1"/>
  <c r="BR24" i="5" s="1"/>
  <c r="BR25" i="5" s="1"/>
  <c r="BR26" i="5" s="1"/>
  <c r="BR27" i="5" s="1"/>
  <c r="BR28" i="5" s="1"/>
  <c r="BR29" i="5" s="1"/>
  <c r="BR30" i="5" s="1"/>
  <c r="BR31" i="5" s="1"/>
  <c r="BR16" i="5"/>
  <c r="BR15" i="5" s="1"/>
  <c r="BR14" i="5" s="1"/>
  <c r="BR13" i="5" s="1"/>
  <c r="BR12" i="5" s="1"/>
  <c r="BR11" i="5" s="1"/>
  <c r="BR10" i="5" s="1"/>
  <c r="BR9" i="5" s="1"/>
  <c r="BR8" i="5" s="1"/>
  <c r="BR7" i="5" s="1"/>
  <c r="BR6" i="5" s="1"/>
  <c r="BR5" i="5" s="1"/>
  <c r="BR4" i="5" s="1"/>
  <c r="BT148" i="5"/>
  <c r="O13" i="18"/>
  <c r="F76" i="15"/>
  <c r="F77" i="15"/>
  <c r="F78" i="15"/>
  <c r="C45" i="5"/>
  <c r="C46" i="5"/>
  <c r="C47" i="5"/>
  <c r="C48" i="5"/>
  <c r="C49" i="5"/>
  <c r="C50" i="5"/>
  <c r="C51" i="5"/>
  <c r="C52" i="5"/>
  <c r="C53" i="5"/>
  <c r="C54" i="5"/>
  <c r="C55" i="5"/>
  <c r="C56" i="5"/>
  <c r="C57" i="5"/>
  <c r="C58" i="5"/>
  <c r="C59" i="5"/>
  <c r="C60" i="5"/>
  <c r="C61" i="5"/>
  <c r="C62" i="5"/>
  <c r="C63" i="5"/>
  <c r="C64" i="5"/>
  <c r="C65" i="5"/>
  <c r="C66" i="5"/>
  <c r="C67" i="5"/>
  <c r="C68" i="5"/>
  <c r="C69" i="5"/>
  <c r="C70" i="5"/>
  <c r="C71" i="5"/>
  <c r="C72" i="5"/>
  <c r="C73" i="5"/>
  <c r="C74" i="5"/>
  <c r="C75" i="5"/>
  <c r="C76" i="5"/>
  <c r="C77" i="5"/>
  <c r="C78" i="5"/>
  <c r="C79" i="5"/>
  <c r="C80" i="5"/>
  <c r="C81" i="5"/>
  <c r="C82" i="5"/>
  <c r="C83" i="5"/>
  <c r="C84" i="5"/>
  <c r="C85" i="5"/>
  <c r="C86" i="5"/>
  <c r="C87" i="5"/>
  <c r="C88" i="5"/>
  <c r="C89" i="5"/>
  <c r="C90" i="5"/>
  <c r="C91" i="5"/>
  <c r="C92" i="5"/>
  <c r="C93" i="5"/>
  <c r="C94" i="5"/>
  <c r="C95" i="5"/>
  <c r="C96" i="5"/>
  <c r="C97" i="5"/>
  <c r="C98" i="5"/>
  <c r="C99" i="5"/>
  <c r="C100" i="5"/>
  <c r="C101" i="5"/>
  <c r="C102" i="5"/>
  <c r="C103" i="5"/>
  <c r="C104" i="5"/>
  <c r="C105" i="5"/>
  <c r="C106" i="5"/>
  <c r="D106" i="5"/>
  <c r="E106" i="5"/>
  <c r="C107" i="5"/>
  <c r="D107" i="5"/>
  <c r="E107" i="5"/>
  <c r="C44" i="5"/>
  <c r="H152" i="2" l="1"/>
  <c r="H158" i="2"/>
  <c r="H157" i="2"/>
  <c r="H154" i="2"/>
  <c r="H160" i="2"/>
  <c r="H153" i="2"/>
  <c r="H161" i="2"/>
  <c r="H156" i="2"/>
  <c r="H162" i="2"/>
  <c r="H155" i="2"/>
  <c r="H159" i="2"/>
  <c r="H150" i="2"/>
  <c r="H151" i="2"/>
  <c r="BT151" i="5"/>
  <c r="BT152" i="5" s="1"/>
  <c r="E108" i="5" s="1"/>
  <c r="D108" i="5"/>
  <c r="BQ146" i="5"/>
  <c r="BQ143" i="5"/>
  <c r="BQ16" i="5"/>
  <c r="BQ15" i="5" s="1"/>
  <c r="BQ14" i="5" s="1"/>
  <c r="BQ13" i="5" s="1"/>
  <c r="BQ12" i="5" s="1"/>
  <c r="BQ11" i="5" s="1"/>
  <c r="BQ10" i="5" s="1"/>
  <c r="BQ9" i="5" s="1"/>
  <c r="BQ8" i="5" s="1"/>
  <c r="BQ7" i="5" s="1"/>
  <c r="BQ6" i="5" s="1"/>
  <c r="BQ5" i="5" s="1"/>
  <c r="BQ4" i="5" s="1"/>
  <c r="BQ18" i="5"/>
  <c r="BQ19" i="5" s="1"/>
  <c r="BQ20" i="5" s="1"/>
  <c r="BQ21" i="5" s="1"/>
  <c r="BQ22" i="5" s="1"/>
  <c r="BQ23" i="5" s="1"/>
  <c r="BQ24" i="5" s="1"/>
  <c r="BQ25" i="5" s="1"/>
  <c r="BQ26" i="5" s="1"/>
  <c r="BQ27" i="5" s="1"/>
  <c r="BQ28" i="5" s="1"/>
  <c r="BQ29" i="5" s="1"/>
  <c r="BQ30" i="5" s="1"/>
  <c r="BQ31" i="5" s="1"/>
  <c r="BP146" i="5"/>
  <c r="BP16" i="5"/>
  <c r="BP15" i="5" s="1"/>
  <c r="BP14" i="5" s="1"/>
  <c r="BP13" i="5" s="1"/>
  <c r="BP12" i="5" s="1"/>
  <c r="BP11" i="5" s="1"/>
  <c r="BP10" i="5" s="1"/>
  <c r="BP9" i="5" s="1"/>
  <c r="BP8" i="5" s="1"/>
  <c r="BP7" i="5" s="1"/>
  <c r="BP6" i="5" s="1"/>
  <c r="BP5" i="5" s="1"/>
  <c r="BP4" i="5" s="1"/>
  <c r="BP18" i="5"/>
  <c r="BP19" i="5" s="1"/>
  <c r="BP20" i="5" s="1"/>
  <c r="BP21" i="5" s="1"/>
  <c r="BP22" i="5" s="1"/>
  <c r="BP23" i="5" s="1"/>
  <c r="BP24" i="5" s="1"/>
  <c r="BP25" i="5" s="1"/>
  <c r="BP26" i="5" s="1"/>
  <c r="BP27" i="5" s="1"/>
  <c r="BP28" i="5" s="1"/>
  <c r="BP29" i="5" s="1"/>
  <c r="BP30" i="5" s="1"/>
  <c r="BP31" i="5" s="1"/>
  <c r="BP143" i="5"/>
  <c r="AU146" i="5"/>
  <c r="AU143" i="5"/>
  <c r="AU18" i="5"/>
  <c r="AU19" i="5" s="1"/>
  <c r="AU20" i="5" s="1"/>
  <c r="AU21" i="5" s="1"/>
  <c r="AU22" i="5" s="1"/>
  <c r="AU23" i="5" s="1"/>
  <c r="AU24" i="5" s="1"/>
  <c r="AU25" i="5" s="1"/>
  <c r="AU26" i="5" s="1"/>
  <c r="AU27" i="5" s="1"/>
  <c r="AU28" i="5" s="1"/>
  <c r="AU29" i="5" s="1"/>
  <c r="AU30" i="5" s="1"/>
  <c r="AU31" i="5" s="1"/>
  <c r="V60" i="17"/>
  <c r="X60" i="17"/>
  <c r="K77" i="2"/>
  <c r="L77" i="2" s="1"/>
  <c r="K73" i="2"/>
  <c r="L73" i="2" s="1"/>
  <c r="M66" i="2"/>
  <c r="M65" i="2"/>
  <c r="M64" i="2"/>
  <c r="M63" i="2"/>
  <c r="M62" i="2"/>
  <c r="M61" i="2"/>
  <c r="M60" i="2"/>
  <c r="M59" i="2"/>
  <c r="L66" i="2"/>
  <c r="L65" i="2"/>
  <c r="L64" i="2"/>
  <c r="L63" i="2"/>
  <c r="L62" i="2"/>
  <c r="L61" i="2"/>
  <c r="L60" i="2"/>
  <c r="L59" i="2"/>
  <c r="M55" i="2"/>
  <c r="M54" i="2"/>
  <c r="M53" i="2"/>
  <c r="M52" i="2"/>
  <c r="M51" i="2"/>
  <c r="L55" i="2"/>
  <c r="L54" i="2"/>
  <c r="L53" i="2"/>
  <c r="L52" i="2"/>
  <c r="L51" i="2"/>
  <c r="K81" i="2"/>
  <c r="L81" i="2" s="1"/>
  <c r="K85" i="2"/>
  <c r="L85" i="2" s="1"/>
  <c r="K121" i="2"/>
  <c r="L121" i="2" s="1"/>
  <c r="K117" i="2"/>
  <c r="L117" i="2" s="1"/>
  <c r="K113" i="2"/>
  <c r="L113" i="2" s="1"/>
  <c r="K109" i="2"/>
  <c r="L109" i="2" s="1"/>
  <c r="K105" i="2"/>
  <c r="L105" i="2" s="1"/>
  <c r="K101" i="2"/>
  <c r="L101" i="2" s="1"/>
  <c r="K97" i="2"/>
  <c r="L97" i="2" s="1"/>
  <c r="K93" i="2"/>
  <c r="L93" i="2" s="1"/>
  <c r="K89" i="2"/>
  <c r="L89" i="2" s="1"/>
  <c r="U25" i="2"/>
  <c r="U26" i="2"/>
  <c r="U28" i="2"/>
  <c r="BP148" i="5" l="1"/>
  <c r="D104" i="5" s="1"/>
  <c r="BQ148" i="5"/>
  <c r="D105" i="5" s="1"/>
  <c r="AU148" i="5"/>
  <c r="D103" i="5" s="1"/>
  <c r="AU151" i="5"/>
  <c r="AU152" i="5" s="1"/>
  <c r="E103" i="5" s="1"/>
  <c r="BP151" i="5"/>
  <c r="BP152" i="5" s="1"/>
  <c r="E104" i="5" s="1"/>
  <c r="BQ151" i="5"/>
  <c r="BQ152" i="5" s="1"/>
  <c r="E105" i="5" s="1"/>
  <c r="V14" i="2"/>
  <c r="V13" i="2"/>
  <c r="V12" i="2"/>
  <c r="V11" i="2"/>
  <c r="V5" i="2"/>
  <c r="V7" i="2"/>
  <c r="V6" i="2"/>
  <c r="V4" i="2"/>
  <c r="F349" i="3"/>
  <c r="F350" i="3"/>
  <c r="H132" i="2"/>
  <c r="H133" i="2"/>
  <c r="H134" i="2"/>
  <c r="H139" i="2"/>
  <c r="H141" i="2"/>
  <c r="H143" i="2"/>
  <c r="H146" i="2"/>
  <c r="H59" i="2"/>
  <c r="DK25" i="4" l="1"/>
  <c r="DM54" i="4"/>
  <c r="B125" i="5"/>
  <c r="AX167" i="5"/>
  <c r="AY167" i="5"/>
  <c r="AZ167" i="5"/>
  <c r="BA167" i="5"/>
  <c r="BB167" i="5"/>
  <c r="BC167" i="5"/>
  <c r="BE167" i="5"/>
  <c r="BG167" i="5"/>
  <c r="BJ167" i="5"/>
  <c r="BM167" i="5"/>
  <c r="BO167" i="5"/>
  <c r="BO146" i="5"/>
  <c r="BN146" i="5"/>
  <c r="BM146" i="5"/>
  <c r="BL146" i="5"/>
  <c r="BK146" i="5"/>
  <c r="BJ146" i="5"/>
  <c r="BI146" i="5"/>
  <c r="BH146" i="5"/>
  <c r="BG146" i="5"/>
  <c r="BF146" i="5"/>
  <c r="BE146" i="5"/>
  <c r="BD146" i="5"/>
  <c r="BC146" i="5"/>
  <c r="BB146" i="5"/>
  <c r="BA146" i="5"/>
  <c r="AZ146" i="5"/>
  <c r="AY146" i="5"/>
  <c r="AX146" i="5"/>
  <c r="AW146" i="5"/>
  <c r="AV146" i="5"/>
  <c r="AT146" i="5"/>
  <c r="BO143" i="5"/>
  <c r="BN143" i="5"/>
  <c r="BM143" i="5"/>
  <c r="BL143" i="5"/>
  <c r="BK143" i="5"/>
  <c r="BJ143" i="5"/>
  <c r="BI143" i="5"/>
  <c r="BH143" i="5"/>
  <c r="BG143" i="5"/>
  <c r="BF143" i="5"/>
  <c r="BE143" i="5"/>
  <c r="BD143" i="5"/>
  <c r="BC143" i="5"/>
  <c r="BB143" i="5"/>
  <c r="BA143" i="5"/>
  <c r="AZ143" i="5"/>
  <c r="AY143" i="5"/>
  <c r="AX143" i="5"/>
  <c r="AW143" i="5"/>
  <c r="AV143" i="5"/>
  <c r="AT143" i="5"/>
  <c r="BF31" i="5"/>
  <c r="BE31" i="5"/>
  <c r="AT31" i="5"/>
  <c r="BF29" i="5"/>
  <c r="BE29" i="5"/>
  <c r="AT29" i="5"/>
  <c r="BF27" i="5"/>
  <c r="BE27" i="5"/>
  <c r="AT27" i="5"/>
  <c r="BF25" i="5"/>
  <c r="BE25" i="5"/>
  <c r="AT25" i="5"/>
  <c r="BF23" i="5"/>
  <c r="BE23" i="5"/>
  <c r="AT23" i="5"/>
  <c r="BF21" i="5"/>
  <c r="BE21" i="5"/>
  <c r="AT21" i="5"/>
  <c r="BF19" i="5"/>
  <c r="BE19" i="5"/>
  <c r="AT19" i="5"/>
  <c r="BO18" i="5"/>
  <c r="BO19" i="5" s="1"/>
  <c r="BO20" i="5" s="1"/>
  <c r="BO21" i="5" s="1"/>
  <c r="BO22" i="5" s="1"/>
  <c r="BO23" i="5" s="1"/>
  <c r="BO24" i="5" s="1"/>
  <c r="BO25" i="5" s="1"/>
  <c r="BO26" i="5" s="1"/>
  <c r="BO27" i="5" s="1"/>
  <c r="BO28" i="5" s="1"/>
  <c r="BO29" i="5" s="1"/>
  <c r="BO30" i="5" s="1"/>
  <c r="BO31" i="5" s="1"/>
  <c r="BN18" i="5"/>
  <c r="BN19" i="5" s="1"/>
  <c r="BN20" i="5" s="1"/>
  <c r="BN21" i="5" s="1"/>
  <c r="BN22" i="5" s="1"/>
  <c r="BN23" i="5" s="1"/>
  <c r="BN24" i="5" s="1"/>
  <c r="BN25" i="5" s="1"/>
  <c r="BN26" i="5" s="1"/>
  <c r="BN27" i="5" s="1"/>
  <c r="BN28" i="5" s="1"/>
  <c r="BN29" i="5" s="1"/>
  <c r="BN30" i="5" s="1"/>
  <c r="BN31" i="5" s="1"/>
  <c r="BM18" i="5"/>
  <c r="BM19" i="5" s="1"/>
  <c r="BM20" i="5" s="1"/>
  <c r="BM21" i="5" s="1"/>
  <c r="BM22" i="5" s="1"/>
  <c r="BM23" i="5" s="1"/>
  <c r="BM24" i="5" s="1"/>
  <c r="BM25" i="5" s="1"/>
  <c r="BM26" i="5" s="1"/>
  <c r="BM27" i="5" s="1"/>
  <c r="BM28" i="5" s="1"/>
  <c r="BM29" i="5" s="1"/>
  <c r="BM30" i="5" s="1"/>
  <c r="BM31" i="5" s="1"/>
  <c r="BL18" i="5"/>
  <c r="BL19" i="5" s="1"/>
  <c r="BL20" i="5" s="1"/>
  <c r="BL21" i="5" s="1"/>
  <c r="BL22" i="5" s="1"/>
  <c r="BL23" i="5" s="1"/>
  <c r="BL24" i="5" s="1"/>
  <c r="BL25" i="5" s="1"/>
  <c r="BL26" i="5" s="1"/>
  <c r="BL27" i="5" s="1"/>
  <c r="BL28" i="5" s="1"/>
  <c r="BL29" i="5" s="1"/>
  <c r="BL30" i="5" s="1"/>
  <c r="BL31" i="5" s="1"/>
  <c r="BK18" i="5"/>
  <c r="BK19" i="5" s="1"/>
  <c r="BK20" i="5" s="1"/>
  <c r="BK21" i="5" s="1"/>
  <c r="BK22" i="5" s="1"/>
  <c r="BK23" i="5" s="1"/>
  <c r="BK24" i="5" s="1"/>
  <c r="BK25" i="5" s="1"/>
  <c r="BK26" i="5" s="1"/>
  <c r="BK27" i="5" s="1"/>
  <c r="BK28" i="5" s="1"/>
  <c r="BK29" i="5" s="1"/>
  <c r="BK30" i="5" s="1"/>
  <c r="BK31" i="5" s="1"/>
  <c r="BJ18" i="5"/>
  <c r="BJ19" i="5" s="1"/>
  <c r="BJ20" i="5" s="1"/>
  <c r="BJ21" i="5" s="1"/>
  <c r="BJ22" i="5" s="1"/>
  <c r="BJ23" i="5" s="1"/>
  <c r="BJ24" i="5" s="1"/>
  <c r="BJ25" i="5" s="1"/>
  <c r="BJ26" i="5" s="1"/>
  <c r="BJ27" i="5" s="1"/>
  <c r="BJ28" i="5" s="1"/>
  <c r="BJ29" i="5" s="1"/>
  <c r="BJ30" i="5" s="1"/>
  <c r="BJ31" i="5" s="1"/>
  <c r="BI18" i="5"/>
  <c r="BI19" i="5" s="1"/>
  <c r="BI20" i="5" s="1"/>
  <c r="BI21" i="5" s="1"/>
  <c r="BI22" i="5" s="1"/>
  <c r="BI23" i="5" s="1"/>
  <c r="BI24" i="5" s="1"/>
  <c r="BI25" i="5" s="1"/>
  <c r="BI26" i="5" s="1"/>
  <c r="BI27" i="5" s="1"/>
  <c r="BI28" i="5" s="1"/>
  <c r="BI29" i="5" s="1"/>
  <c r="BI30" i="5" s="1"/>
  <c r="BI31" i="5" s="1"/>
  <c r="BH18" i="5"/>
  <c r="BH19" i="5" s="1"/>
  <c r="BH20" i="5" s="1"/>
  <c r="BH21" i="5" s="1"/>
  <c r="BH22" i="5" s="1"/>
  <c r="BH23" i="5" s="1"/>
  <c r="BH24" i="5" s="1"/>
  <c r="BH25" i="5" s="1"/>
  <c r="BH26" i="5" s="1"/>
  <c r="BH27" i="5" s="1"/>
  <c r="BH28" i="5" s="1"/>
  <c r="BH29" i="5" s="1"/>
  <c r="BH30" i="5" s="1"/>
  <c r="BH31" i="5" s="1"/>
  <c r="BG18" i="5"/>
  <c r="BG19" i="5" s="1"/>
  <c r="BG20" i="5" s="1"/>
  <c r="BG21" i="5" s="1"/>
  <c r="BG22" i="5" s="1"/>
  <c r="BG23" i="5" s="1"/>
  <c r="BG24" i="5" s="1"/>
  <c r="BG25" i="5" s="1"/>
  <c r="BG26" i="5" s="1"/>
  <c r="BG27" i="5" s="1"/>
  <c r="BG28" i="5" s="1"/>
  <c r="BG29" i="5" s="1"/>
  <c r="BG30" i="5" s="1"/>
  <c r="BG31" i="5" s="1"/>
  <c r="BD18" i="5"/>
  <c r="BD19" i="5" s="1"/>
  <c r="BD20" i="5" s="1"/>
  <c r="BD21" i="5" s="1"/>
  <c r="BD22" i="5" s="1"/>
  <c r="BD23" i="5" s="1"/>
  <c r="BD24" i="5" s="1"/>
  <c r="BD25" i="5" s="1"/>
  <c r="BD26" i="5" s="1"/>
  <c r="BD27" i="5" s="1"/>
  <c r="BD28" i="5" s="1"/>
  <c r="BD29" i="5" s="1"/>
  <c r="BD30" i="5" s="1"/>
  <c r="BD31" i="5" s="1"/>
  <c r="BC18" i="5"/>
  <c r="BC19" i="5" s="1"/>
  <c r="BC20" i="5" s="1"/>
  <c r="BC21" i="5" s="1"/>
  <c r="BC22" i="5" s="1"/>
  <c r="BC23" i="5" s="1"/>
  <c r="BC24" i="5" s="1"/>
  <c r="BC25" i="5" s="1"/>
  <c r="BC26" i="5" s="1"/>
  <c r="BC27" i="5" s="1"/>
  <c r="BC28" i="5" s="1"/>
  <c r="BC29" i="5" s="1"/>
  <c r="BC30" i="5" s="1"/>
  <c r="BC31" i="5" s="1"/>
  <c r="BB18" i="5"/>
  <c r="BB19" i="5" s="1"/>
  <c r="BB20" i="5" s="1"/>
  <c r="BB21" i="5" s="1"/>
  <c r="BB22" i="5" s="1"/>
  <c r="BB23" i="5" s="1"/>
  <c r="BB24" i="5" s="1"/>
  <c r="BB25" i="5" s="1"/>
  <c r="BB26" i="5" s="1"/>
  <c r="BB27" i="5" s="1"/>
  <c r="BB28" i="5" s="1"/>
  <c r="BB29" i="5" s="1"/>
  <c r="BB30" i="5" s="1"/>
  <c r="BB31" i="5" s="1"/>
  <c r="BA18" i="5"/>
  <c r="BA19" i="5" s="1"/>
  <c r="BA20" i="5" s="1"/>
  <c r="BA21" i="5" s="1"/>
  <c r="BA22" i="5" s="1"/>
  <c r="BA23" i="5" s="1"/>
  <c r="BA24" i="5" s="1"/>
  <c r="BA25" i="5" s="1"/>
  <c r="BA26" i="5" s="1"/>
  <c r="BA27" i="5" s="1"/>
  <c r="BA28" i="5" s="1"/>
  <c r="BA29" i="5" s="1"/>
  <c r="BA30" i="5" s="1"/>
  <c r="BA31" i="5" s="1"/>
  <c r="AZ18" i="5"/>
  <c r="AZ19" i="5" s="1"/>
  <c r="AZ20" i="5" s="1"/>
  <c r="AZ21" i="5" s="1"/>
  <c r="AZ22" i="5" s="1"/>
  <c r="AZ23" i="5" s="1"/>
  <c r="AZ24" i="5" s="1"/>
  <c r="AZ25" i="5" s="1"/>
  <c r="AZ26" i="5" s="1"/>
  <c r="AZ27" i="5" s="1"/>
  <c r="AZ28" i="5" s="1"/>
  <c r="AZ29" i="5" s="1"/>
  <c r="AZ30" i="5" s="1"/>
  <c r="AZ31" i="5" s="1"/>
  <c r="AY18" i="5"/>
  <c r="AY19" i="5" s="1"/>
  <c r="AY20" i="5" s="1"/>
  <c r="AY21" i="5" s="1"/>
  <c r="AY22" i="5" s="1"/>
  <c r="AY23" i="5" s="1"/>
  <c r="AY24" i="5" s="1"/>
  <c r="AY25" i="5" s="1"/>
  <c r="AY26" i="5" s="1"/>
  <c r="AY27" i="5" s="1"/>
  <c r="AY28" i="5" s="1"/>
  <c r="AY29" i="5" s="1"/>
  <c r="AY30" i="5" s="1"/>
  <c r="AY31" i="5" s="1"/>
  <c r="AX18" i="5"/>
  <c r="AX19" i="5" s="1"/>
  <c r="AX20" i="5" s="1"/>
  <c r="AX21" i="5" s="1"/>
  <c r="AX22" i="5" s="1"/>
  <c r="AX23" i="5" s="1"/>
  <c r="AX24" i="5" s="1"/>
  <c r="AX25" i="5" s="1"/>
  <c r="AX26" i="5" s="1"/>
  <c r="AX27" i="5" s="1"/>
  <c r="AX28" i="5" s="1"/>
  <c r="AX29" i="5" s="1"/>
  <c r="AX30" i="5" s="1"/>
  <c r="AX31" i="5" s="1"/>
  <c r="AW18" i="5"/>
  <c r="AW19" i="5" s="1"/>
  <c r="AW20" i="5" s="1"/>
  <c r="AW21" i="5" s="1"/>
  <c r="AW22" i="5" s="1"/>
  <c r="AW23" i="5" s="1"/>
  <c r="AW24" i="5" s="1"/>
  <c r="AW25" i="5" s="1"/>
  <c r="AW26" i="5" s="1"/>
  <c r="AW27" i="5" s="1"/>
  <c r="AW28" i="5" s="1"/>
  <c r="AW29" i="5" s="1"/>
  <c r="AW30" i="5" s="1"/>
  <c r="AW31" i="5" s="1"/>
  <c r="AV18" i="5"/>
  <c r="AV19" i="5" s="1"/>
  <c r="AV20" i="5" s="1"/>
  <c r="AV21" i="5" s="1"/>
  <c r="AV22" i="5" s="1"/>
  <c r="AV23" i="5" s="1"/>
  <c r="AV24" i="5" s="1"/>
  <c r="AV25" i="5" s="1"/>
  <c r="AV26" i="5" s="1"/>
  <c r="AV27" i="5" s="1"/>
  <c r="AV28" i="5" s="1"/>
  <c r="AV29" i="5" s="1"/>
  <c r="AV30" i="5" s="1"/>
  <c r="AV31" i="5" s="1"/>
  <c r="BO16" i="5"/>
  <c r="BN16" i="5"/>
  <c r="BN15" i="5" s="1"/>
  <c r="BN14" i="5" s="1"/>
  <c r="BN13" i="5" s="1"/>
  <c r="BN12" i="5" s="1"/>
  <c r="BN11" i="5" s="1"/>
  <c r="BN10" i="5" s="1"/>
  <c r="BN9" i="5" s="1"/>
  <c r="BN8" i="5" s="1"/>
  <c r="BN7" i="5" s="1"/>
  <c r="BN6" i="5" s="1"/>
  <c r="BN5" i="5" s="1"/>
  <c r="BN4" i="5" s="1"/>
  <c r="BM16" i="5"/>
  <c r="BM15" i="5" s="1"/>
  <c r="BM14" i="5" s="1"/>
  <c r="BM13" i="5" s="1"/>
  <c r="BM12" i="5" s="1"/>
  <c r="BM11" i="5" s="1"/>
  <c r="BM10" i="5" s="1"/>
  <c r="BM9" i="5" s="1"/>
  <c r="BM8" i="5" s="1"/>
  <c r="BM7" i="5" s="1"/>
  <c r="BM6" i="5" s="1"/>
  <c r="BM5" i="5" s="1"/>
  <c r="BM4" i="5" s="1"/>
  <c r="BL16" i="5"/>
  <c r="BL15" i="5" s="1"/>
  <c r="BL14" i="5" s="1"/>
  <c r="BL13" i="5" s="1"/>
  <c r="BL12" i="5" s="1"/>
  <c r="BL11" i="5" s="1"/>
  <c r="BL10" i="5" s="1"/>
  <c r="BL9" i="5" s="1"/>
  <c r="BL8" i="5" s="1"/>
  <c r="BL7" i="5" s="1"/>
  <c r="BL6" i="5" s="1"/>
  <c r="BL5" i="5" s="1"/>
  <c r="BL4" i="5" s="1"/>
  <c r="BK16" i="5"/>
  <c r="BK15" i="5" s="1"/>
  <c r="BK14" i="5" s="1"/>
  <c r="BK13" i="5" s="1"/>
  <c r="BK12" i="5" s="1"/>
  <c r="BK11" i="5" s="1"/>
  <c r="BK10" i="5" s="1"/>
  <c r="BK9" i="5" s="1"/>
  <c r="BK8" i="5" s="1"/>
  <c r="BK7" i="5" s="1"/>
  <c r="BK6" i="5" s="1"/>
  <c r="BK5" i="5" s="1"/>
  <c r="BK4" i="5" s="1"/>
  <c r="BJ16" i="5"/>
  <c r="BJ15" i="5" s="1"/>
  <c r="BJ14" i="5" s="1"/>
  <c r="BJ13" i="5" s="1"/>
  <c r="BJ12" i="5" s="1"/>
  <c r="BJ11" i="5" s="1"/>
  <c r="BJ10" i="5" s="1"/>
  <c r="BJ9" i="5" s="1"/>
  <c r="BJ8" i="5" s="1"/>
  <c r="BJ7" i="5" s="1"/>
  <c r="BJ6" i="5" s="1"/>
  <c r="BJ5" i="5" s="1"/>
  <c r="BJ4" i="5" s="1"/>
  <c r="BI16" i="5"/>
  <c r="BH16" i="5"/>
  <c r="BH15" i="5" s="1"/>
  <c r="BH14" i="5" s="1"/>
  <c r="BH13" i="5" s="1"/>
  <c r="BH12" i="5" s="1"/>
  <c r="BH11" i="5" s="1"/>
  <c r="BH10" i="5" s="1"/>
  <c r="BH9" i="5" s="1"/>
  <c r="BH8" i="5" s="1"/>
  <c r="BH7" i="5" s="1"/>
  <c r="BH6" i="5" s="1"/>
  <c r="BH5" i="5" s="1"/>
  <c r="BH4" i="5" s="1"/>
  <c r="BG16" i="5"/>
  <c r="BG15" i="5" s="1"/>
  <c r="BG14" i="5" s="1"/>
  <c r="BG13" i="5" s="1"/>
  <c r="BG12" i="5" s="1"/>
  <c r="BG11" i="5" s="1"/>
  <c r="BG10" i="5" s="1"/>
  <c r="BG9" i="5" s="1"/>
  <c r="BG8" i="5" s="1"/>
  <c r="BG7" i="5" s="1"/>
  <c r="BG6" i="5" s="1"/>
  <c r="BG5" i="5" s="1"/>
  <c r="BG4" i="5" s="1"/>
  <c r="BF16" i="5"/>
  <c r="BE16" i="5"/>
  <c r="BD16" i="5"/>
  <c r="BD15" i="5" s="1"/>
  <c r="BD14" i="5" s="1"/>
  <c r="BD13" i="5" s="1"/>
  <c r="BD12" i="5" s="1"/>
  <c r="BD11" i="5" s="1"/>
  <c r="BD10" i="5" s="1"/>
  <c r="BD9" i="5" s="1"/>
  <c r="BD8" i="5" s="1"/>
  <c r="BD7" i="5" s="1"/>
  <c r="BD6" i="5" s="1"/>
  <c r="BD5" i="5" s="1"/>
  <c r="BD4" i="5" s="1"/>
  <c r="BC16" i="5"/>
  <c r="BC15" i="5" s="1"/>
  <c r="BC14" i="5" s="1"/>
  <c r="BC13" i="5" s="1"/>
  <c r="BC12" i="5" s="1"/>
  <c r="BC11" i="5" s="1"/>
  <c r="BC10" i="5" s="1"/>
  <c r="BC9" i="5" s="1"/>
  <c r="BC8" i="5" s="1"/>
  <c r="BC7" i="5" s="1"/>
  <c r="BC6" i="5" s="1"/>
  <c r="BC5" i="5" s="1"/>
  <c r="BC4" i="5" s="1"/>
  <c r="BB16" i="5"/>
  <c r="BB15" i="5" s="1"/>
  <c r="BB14" i="5" s="1"/>
  <c r="BB13" i="5" s="1"/>
  <c r="BB12" i="5" s="1"/>
  <c r="BB11" i="5" s="1"/>
  <c r="BB10" i="5" s="1"/>
  <c r="BB9" i="5" s="1"/>
  <c r="BB8" i="5" s="1"/>
  <c r="BB7" i="5" s="1"/>
  <c r="BB6" i="5" s="1"/>
  <c r="BB5" i="5" s="1"/>
  <c r="BB4" i="5" s="1"/>
  <c r="BA16" i="5"/>
  <c r="BA15" i="5" s="1"/>
  <c r="BA14" i="5" s="1"/>
  <c r="BA13" i="5" s="1"/>
  <c r="BA12" i="5" s="1"/>
  <c r="BA11" i="5" s="1"/>
  <c r="BA10" i="5" s="1"/>
  <c r="BA9" i="5" s="1"/>
  <c r="BA8" i="5" s="1"/>
  <c r="BA7" i="5" s="1"/>
  <c r="BA6" i="5" s="1"/>
  <c r="BA5" i="5" s="1"/>
  <c r="BA4" i="5" s="1"/>
  <c r="AZ16" i="5"/>
  <c r="AZ15" i="5" s="1"/>
  <c r="AZ14" i="5" s="1"/>
  <c r="AZ13" i="5" s="1"/>
  <c r="AZ12" i="5" s="1"/>
  <c r="AZ11" i="5" s="1"/>
  <c r="AZ10" i="5" s="1"/>
  <c r="AZ9" i="5" s="1"/>
  <c r="AZ8" i="5" s="1"/>
  <c r="AZ7" i="5" s="1"/>
  <c r="AZ6" i="5" s="1"/>
  <c r="AZ5" i="5" s="1"/>
  <c r="AZ4" i="5" s="1"/>
  <c r="AY16" i="5"/>
  <c r="AY15" i="5" s="1"/>
  <c r="AY14" i="5" s="1"/>
  <c r="AY13" i="5" s="1"/>
  <c r="AY12" i="5" s="1"/>
  <c r="AY11" i="5" s="1"/>
  <c r="AY10" i="5" s="1"/>
  <c r="AY9" i="5" s="1"/>
  <c r="AY8" i="5" s="1"/>
  <c r="AY7" i="5" s="1"/>
  <c r="AY6" i="5" s="1"/>
  <c r="AY5" i="5" s="1"/>
  <c r="AY4" i="5" s="1"/>
  <c r="AX16" i="5"/>
  <c r="AX15" i="5" s="1"/>
  <c r="AX14" i="5" s="1"/>
  <c r="AX13" i="5" s="1"/>
  <c r="AX12" i="5" s="1"/>
  <c r="AX11" i="5" s="1"/>
  <c r="AX10" i="5" s="1"/>
  <c r="AX9" i="5" s="1"/>
  <c r="AX8" i="5" s="1"/>
  <c r="AX7" i="5" s="1"/>
  <c r="AX6" i="5" s="1"/>
  <c r="AX5" i="5" s="1"/>
  <c r="AX4" i="5" s="1"/>
  <c r="AW16" i="5"/>
  <c r="AW15" i="5" s="1"/>
  <c r="AW14" i="5" s="1"/>
  <c r="AW13" i="5" s="1"/>
  <c r="AW12" i="5" s="1"/>
  <c r="AW11" i="5" s="1"/>
  <c r="AW10" i="5" s="1"/>
  <c r="AW9" i="5" s="1"/>
  <c r="AW8" i="5" s="1"/>
  <c r="AW7" i="5" s="1"/>
  <c r="AW6" i="5" s="1"/>
  <c r="AW5" i="5" s="1"/>
  <c r="AW4" i="5" s="1"/>
  <c r="AV16" i="5"/>
  <c r="AV15" i="5" s="1"/>
  <c r="AV14" i="5" s="1"/>
  <c r="AV13" i="5" s="1"/>
  <c r="AV12" i="5" s="1"/>
  <c r="AV11" i="5" s="1"/>
  <c r="AV10" i="5" s="1"/>
  <c r="AV9" i="5" s="1"/>
  <c r="AV8" i="5" s="1"/>
  <c r="AV7" i="5" s="1"/>
  <c r="AV6" i="5" s="1"/>
  <c r="AV5" i="5" s="1"/>
  <c r="AV4" i="5" s="1"/>
  <c r="AT16" i="5"/>
  <c r="BI15" i="5"/>
  <c r="BI14" i="5" s="1"/>
  <c r="BI13" i="5" s="1"/>
  <c r="BI12" i="5" s="1"/>
  <c r="BI11" i="5" s="1"/>
  <c r="BI10" i="5" s="1"/>
  <c r="BI9" i="5" s="1"/>
  <c r="BI8" i="5" s="1"/>
  <c r="BI7" i="5" s="1"/>
  <c r="BI6" i="5" s="1"/>
  <c r="BI5" i="5" s="1"/>
  <c r="BI4" i="5" s="1"/>
  <c r="BF14" i="5"/>
  <c r="BE14" i="5"/>
  <c r="AT14" i="5"/>
  <c r="BF12" i="5"/>
  <c r="BE12" i="5"/>
  <c r="AT12" i="5"/>
  <c r="BF10" i="5"/>
  <c r="BE10" i="5"/>
  <c r="AT10" i="5"/>
  <c r="BF8" i="5"/>
  <c r="BE8" i="5"/>
  <c r="AT8" i="5"/>
  <c r="BF6" i="5"/>
  <c r="BE6" i="5"/>
  <c r="AT6" i="5"/>
  <c r="BF4" i="5"/>
  <c r="BE4" i="5"/>
  <c r="AT4" i="5"/>
  <c r="BO15" i="5" l="1"/>
  <c r="BO14" i="5" s="1"/>
  <c r="BO13" i="5" s="1"/>
  <c r="BO12" i="5" s="1"/>
  <c r="BO11" i="5" s="1"/>
  <c r="BO10" i="5" s="1"/>
  <c r="BO9" i="5" s="1"/>
  <c r="BO8" i="5" s="1"/>
  <c r="BO7" i="5" s="1"/>
  <c r="BO6" i="5" s="1"/>
  <c r="BO5" i="5" s="1"/>
  <c r="BO4" i="5" s="1"/>
  <c r="AX148" i="5"/>
  <c r="D85" i="5" s="1"/>
  <c r="BB148" i="5"/>
  <c r="D89" i="5" s="1"/>
  <c r="BF148" i="5"/>
  <c r="D93" i="5" s="1"/>
  <c r="BJ148" i="5"/>
  <c r="D97" i="5" s="1"/>
  <c r="BN148" i="5"/>
  <c r="D101" i="5" s="1"/>
  <c r="AT148" i="5"/>
  <c r="D82" i="5" s="1"/>
  <c r="AY148" i="5"/>
  <c r="D86" i="5" s="1"/>
  <c r="BC148" i="5"/>
  <c r="D90" i="5" s="1"/>
  <c r="BG148" i="5"/>
  <c r="D94" i="5" s="1"/>
  <c r="BK148" i="5"/>
  <c r="D98" i="5" s="1"/>
  <c r="BO148" i="5"/>
  <c r="D102" i="5" s="1"/>
  <c r="AW148" i="5"/>
  <c r="D84" i="5" s="1"/>
  <c r="BA148" i="5"/>
  <c r="D88" i="5" s="1"/>
  <c r="BE148" i="5"/>
  <c r="D92" i="5" s="1"/>
  <c r="BI148" i="5"/>
  <c r="D96" i="5" s="1"/>
  <c r="BM148" i="5"/>
  <c r="D100" i="5" s="1"/>
  <c r="AV148" i="5"/>
  <c r="D83" i="5" s="1"/>
  <c r="AZ148" i="5"/>
  <c r="D87" i="5" s="1"/>
  <c r="BD148" i="5"/>
  <c r="D91" i="5" s="1"/>
  <c r="BH148" i="5"/>
  <c r="D95" i="5" s="1"/>
  <c r="BL148" i="5"/>
  <c r="D99" i="5" s="1"/>
  <c r="AZ151" i="5" l="1"/>
  <c r="AZ152" i="5" s="1"/>
  <c r="E87" i="5" s="1"/>
  <c r="BE151" i="5"/>
  <c r="BE152" i="5" s="1"/>
  <c r="E92" i="5" s="1"/>
  <c r="BK151" i="5"/>
  <c r="BK152" i="5" s="1"/>
  <c r="E98" i="5" s="1"/>
  <c r="AT151" i="5"/>
  <c r="AT152" i="5" s="1"/>
  <c r="E82" i="5" s="1"/>
  <c r="BB151" i="5"/>
  <c r="BB152" i="5" s="1"/>
  <c r="E89" i="5" s="1"/>
  <c r="BL151" i="5"/>
  <c r="BL152" i="5" s="1"/>
  <c r="E99" i="5" s="1"/>
  <c r="AV151" i="5"/>
  <c r="AV152" i="5" s="1"/>
  <c r="E83" i="5" s="1"/>
  <c r="BA151" i="5"/>
  <c r="BA152" i="5" s="1"/>
  <c r="E88" i="5" s="1"/>
  <c r="BG151" i="5"/>
  <c r="BG152" i="5" s="1"/>
  <c r="E94" i="5" s="1"/>
  <c r="BN151" i="5"/>
  <c r="BN152" i="5" s="1"/>
  <c r="E101" i="5" s="1"/>
  <c r="AX151" i="5"/>
  <c r="AX152" i="5" s="1"/>
  <c r="E85" i="5" s="1"/>
  <c r="BH151" i="5"/>
  <c r="BH152" i="5" s="1"/>
  <c r="E95" i="5" s="1"/>
  <c r="BM151" i="5"/>
  <c r="BM152" i="5" s="1"/>
  <c r="E100" i="5" s="1"/>
  <c r="AW151" i="5"/>
  <c r="AW152" i="5" s="1"/>
  <c r="E84" i="5" s="1"/>
  <c r="BC151" i="5"/>
  <c r="BC152" i="5" s="1"/>
  <c r="E90" i="5" s="1"/>
  <c r="BJ151" i="5"/>
  <c r="BJ152" i="5" s="1"/>
  <c r="E97" i="5" s="1"/>
  <c r="BD151" i="5"/>
  <c r="BD152" i="5" s="1"/>
  <c r="E91" i="5" s="1"/>
  <c r="BI151" i="5"/>
  <c r="BI152" i="5" s="1"/>
  <c r="E96" i="5" s="1"/>
  <c r="BO151" i="5"/>
  <c r="BO152" i="5" s="1"/>
  <c r="E102" i="5" s="1"/>
  <c r="AY151" i="5"/>
  <c r="AY152" i="5" s="1"/>
  <c r="E86" i="5" s="1"/>
  <c r="BF151" i="5"/>
  <c r="BF152" i="5" s="1"/>
  <c r="E93" i="5" s="1"/>
  <c r="AK51" i="17"/>
  <c r="AL51" i="17"/>
  <c r="AM51" i="17"/>
  <c r="AN51" i="17"/>
  <c r="AO51" i="17"/>
  <c r="AP51" i="17"/>
  <c r="AQ51" i="17"/>
  <c r="AR51" i="17"/>
  <c r="AS51" i="17"/>
  <c r="AT51" i="17"/>
  <c r="AU51" i="17"/>
  <c r="AV51" i="17"/>
  <c r="AW51" i="17"/>
  <c r="AX51" i="17"/>
  <c r="AY51" i="17"/>
  <c r="AZ51" i="17"/>
  <c r="BA51" i="17"/>
  <c r="BB51" i="17"/>
  <c r="BC51" i="17"/>
  <c r="BD51" i="17"/>
  <c r="BE51" i="17"/>
  <c r="BF51" i="17"/>
  <c r="BG51" i="17"/>
  <c r="BH51" i="17"/>
  <c r="BI51" i="17"/>
  <c r="BJ51" i="17"/>
  <c r="BK51" i="17"/>
  <c r="BL51" i="17"/>
  <c r="BM51" i="17"/>
  <c r="BN51" i="17"/>
  <c r="BO51" i="17"/>
  <c r="BP51" i="17"/>
  <c r="BQ51" i="17"/>
  <c r="BR51" i="17"/>
  <c r="BS51" i="17"/>
  <c r="BT51" i="17"/>
  <c r="BU51" i="17"/>
  <c r="BV51" i="17"/>
  <c r="BW51" i="17"/>
  <c r="BX51" i="17"/>
  <c r="BY51" i="17"/>
  <c r="BZ51" i="17"/>
  <c r="CA51" i="17"/>
  <c r="CB51" i="17"/>
  <c r="CC51" i="17"/>
  <c r="CD51" i="17"/>
  <c r="CE51" i="17"/>
  <c r="CF51" i="17"/>
  <c r="CG51" i="17"/>
  <c r="CH51" i="17"/>
  <c r="CI51" i="17"/>
  <c r="CJ51" i="17"/>
  <c r="CK51" i="17"/>
  <c r="CL51" i="17"/>
  <c r="CM51" i="17"/>
  <c r="CN51" i="17"/>
  <c r="CO51" i="17"/>
  <c r="CP51" i="17"/>
  <c r="CQ51" i="17"/>
  <c r="CR51" i="17"/>
  <c r="CS51" i="17"/>
  <c r="CT51" i="17"/>
  <c r="CU51" i="17"/>
  <c r="CV51" i="17"/>
  <c r="CW51" i="17"/>
  <c r="CX51" i="17"/>
  <c r="CY51" i="17"/>
  <c r="CZ51" i="17"/>
  <c r="DA51" i="17"/>
  <c r="DB51" i="17"/>
  <c r="DC51" i="17"/>
  <c r="DD51" i="17"/>
  <c r="DE51" i="17"/>
  <c r="DF51" i="17"/>
  <c r="DG51" i="17"/>
  <c r="DH51" i="17"/>
  <c r="DI51" i="17"/>
  <c r="DJ51" i="17"/>
  <c r="DK51" i="17"/>
  <c r="DL51" i="17"/>
  <c r="DM51" i="17"/>
  <c r="DN51" i="17"/>
  <c r="DO51" i="17"/>
  <c r="DP51" i="17"/>
  <c r="DQ51" i="17"/>
  <c r="DR51" i="17"/>
  <c r="DS51" i="17"/>
  <c r="DT51" i="17"/>
  <c r="X17" i="17"/>
  <c r="V17" i="17"/>
  <c r="DX51" i="17"/>
  <c r="DW51" i="17"/>
  <c r="DV51" i="17"/>
  <c r="DU51" i="17"/>
  <c r="X3" i="17"/>
  <c r="X4" i="17"/>
  <c r="X5" i="17"/>
  <c r="X6" i="17"/>
  <c r="X7" i="17"/>
  <c r="X8" i="17"/>
  <c r="X9" i="17"/>
  <c r="X10" i="17"/>
  <c r="X11" i="17"/>
  <c r="X12" i="17"/>
  <c r="X13" i="17"/>
  <c r="X14" i="17"/>
  <c r="X15" i="17"/>
  <c r="X16" i="17"/>
  <c r="X18" i="17"/>
  <c r="X19" i="17"/>
  <c r="X20" i="17"/>
  <c r="X21" i="17"/>
  <c r="X22" i="17"/>
  <c r="X23" i="17"/>
  <c r="X24" i="17"/>
  <c r="X25" i="17"/>
  <c r="X26" i="17"/>
  <c r="X27" i="17"/>
  <c r="X28" i="17"/>
  <c r="X29" i="17"/>
  <c r="X30" i="17"/>
  <c r="X31" i="17"/>
  <c r="X32" i="17"/>
  <c r="X33" i="17"/>
  <c r="X34" i="17"/>
  <c r="X35" i="17"/>
  <c r="X36" i="17"/>
  <c r="X37" i="17"/>
  <c r="X38" i="17"/>
  <c r="X39" i="17"/>
  <c r="X40" i="17"/>
  <c r="X41" i="17"/>
  <c r="X42" i="17"/>
  <c r="X43" i="17"/>
  <c r="X44" i="17"/>
  <c r="X45" i="17"/>
  <c r="X46" i="17"/>
  <c r="X47" i="17"/>
  <c r="X48" i="17"/>
  <c r="X49" i="17"/>
  <c r="X50" i="17"/>
  <c r="X51" i="17"/>
  <c r="X52" i="17"/>
  <c r="X53" i="17"/>
  <c r="X54" i="17"/>
  <c r="X55" i="17"/>
  <c r="X56" i="17"/>
  <c r="X57" i="17"/>
  <c r="X58" i="17"/>
  <c r="X59" i="17"/>
  <c r="X61" i="17"/>
  <c r="X62" i="17"/>
  <c r="X63" i="17"/>
  <c r="X64" i="17"/>
  <c r="X65" i="17"/>
  <c r="X66" i="17"/>
  <c r="X67" i="17"/>
  <c r="X68" i="17"/>
  <c r="M1" i="2" s="1"/>
  <c r="X69" i="17"/>
  <c r="X70" i="17"/>
  <c r="X71" i="17"/>
  <c r="X72" i="17"/>
  <c r="X73" i="17"/>
  <c r="X74" i="17"/>
  <c r="X75" i="17"/>
  <c r="X76" i="17"/>
  <c r="X77" i="17"/>
  <c r="X78" i="17"/>
  <c r="X79" i="17"/>
  <c r="X80" i="17"/>
  <c r="X81" i="17"/>
  <c r="X82" i="17"/>
  <c r="X83" i="17"/>
  <c r="X84" i="17"/>
  <c r="X85" i="17"/>
  <c r="X86" i="17"/>
  <c r="X87" i="17"/>
  <c r="X88" i="17"/>
  <c r="X89" i="17"/>
  <c r="X90" i="17"/>
  <c r="X91" i="17"/>
  <c r="X92" i="17"/>
  <c r="X93" i="17"/>
  <c r="X94" i="17"/>
  <c r="X95" i="17"/>
  <c r="X96" i="17"/>
  <c r="X97" i="17"/>
  <c r="X98" i="17"/>
  <c r="X99" i="17"/>
  <c r="X100" i="17"/>
  <c r="X101" i="17"/>
  <c r="X102" i="17"/>
  <c r="V79" i="17"/>
  <c r="V21" i="17" l="1"/>
  <c r="V5" i="17"/>
  <c r="V6" i="17"/>
  <c r="V8" i="17"/>
  <c r="V9" i="17"/>
  <c r="V10" i="17"/>
  <c r="V12" i="17"/>
  <c r="V13" i="17"/>
  <c r="V16" i="17"/>
  <c r="V18" i="17"/>
  <c r="V19" i="17"/>
  <c r="V23" i="17"/>
  <c r="V25" i="17"/>
  <c r="V27" i="17"/>
  <c r="V28" i="17"/>
  <c r="V29" i="17"/>
  <c r="V30" i="17"/>
  <c r="V31" i="17"/>
  <c r="V32" i="17"/>
  <c r="V33" i="17"/>
  <c r="V34" i="17"/>
  <c r="V37" i="17"/>
  <c r="V39" i="17"/>
  <c r="V40" i="17"/>
  <c r="V44" i="17"/>
  <c r="V45" i="17"/>
  <c r="V47" i="17"/>
  <c r="V48" i="17"/>
  <c r="V49" i="17"/>
  <c r="V50" i="17"/>
  <c r="V52" i="17"/>
  <c r="V53" i="17"/>
  <c r="V55" i="17"/>
  <c r="V56" i="17"/>
  <c r="V57" i="17"/>
  <c r="V58" i="17"/>
  <c r="V61" i="17"/>
  <c r="V62" i="17"/>
  <c r="V63" i="17"/>
  <c r="V68" i="17"/>
  <c r="V69" i="17"/>
  <c r="V70" i="17"/>
  <c r="V71" i="17"/>
  <c r="V73" i="17"/>
  <c r="V74" i="17"/>
  <c r="V76" i="17"/>
  <c r="V77" i="17"/>
  <c r="V80" i="17"/>
  <c r="V81" i="17"/>
  <c r="V82" i="17"/>
  <c r="V83" i="17"/>
  <c r="V89" i="17"/>
  <c r="V90" i="17"/>
  <c r="V91" i="17"/>
  <c r="V92" i="17"/>
  <c r="V94" i="17"/>
  <c r="V95" i="17"/>
  <c r="V96" i="17"/>
  <c r="V14" i="17"/>
  <c r="V98" i="17"/>
  <c r="V100" i="17"/>
  <c r="V101" i="17"/>
  <c r="V102" i="17"/>
  <c r="U100" i="17"/>
  <c r="U98" i="17"/>
  <c r="U14" i="17"/>
  <c r="U94" i="17"/>
  <c r="U92" i="17"/>
  <c r="U90" i="17"/>
  <c r="U89" i="17"/>
  <c r="U82" i="17"/>
  <c r="U81" i="17"/>
  <c r="U74" i="17"/>
  <c r="U73" i="17"/>
  <c r="U71" i="17"/>
  <c r="U69" i="17"/>
  <c r="U58" i="17"/>
  <c r="U56" i="17"/>
  <c r="U53" i="17"/>
  <c r="U52" i="17"/>
  <c r="U50" i="17"/>
  <c r="U45" i="17"/>
  <c r="U44" i="17"/>
  <c r="U40" i="17"/>
  <c r="U39" i="17"/>
  <c r="U33" i="17"/>
  <c r="U30" i="17"/>
  <c r="U25" i="17"/>
  <c r="U19" i="17"/>
  <c r="U18" i="17"/>
  <c r="U13" i="17"/>
  <c r="U9" i="17"/>
  <c r="U5" i="17"/>
  <c r="V93" i="17"/>
  <c r="V88" i="17"/>
  <c r="V87" i="17"/>
  <c r="V86" i="17"/>
  <c r="V78" i="17"/>
  <c r="V72" i="17"/>
  <c r="V67" i="17"/>
  <c r="V66" i="17"/>
  <c r="V22" i="17"/>
  <c r="V54" i="17"/>
  <c r="V46" i="17"/>
  <c r="V42" i="17"/>
  <c r="V35" i="17"/>
  <c r="V20" i="17"/>
  <c r="V15" i="17"/>
  <c r="V11" i="17"/>
  <c r="V7" i="17"/>
  <c r="V4" i="17"/>
  <c r="V84" i="17"/>
  <c r="V59" i="17"/>
  <c r="V38" i="17"/>
  <c r="V75" i="17"/>
  <c r="V36" i="17"/>
  <c r="V99" i="17"/>
  <c r="V97" i="17"/>
  <c r="V85" i="17"/>
  <c r="V64" i="17"/>
  <c r="V43" i="17"/>
  <c r="V3" i="17"/>
  <c r="V65" i="17"/>
  <c r="V51" i="17"/>
  <c r="V41" i="17"/>
  <c r="V26" i="17"/>
  <c r="V24" i="17"/>
  <c r="I167" i="5"/>
  <c r="J167" i="5"/>
  <c r="K167" i="5"/>
  <c r="L167" i="5"/>
  <c r="M167" i="5"/>
  <c r="N167" i="5"/>
  <c r="P167" i="5"/>
  <c r="S167" i="5"/>
  <c r="W167" i="5"/>
  <c r="X167" i="5"/>
  <c r="Y167" i="5"/>
  <c r="Z167" i="5"/>
  <c r="AA167" i="5"/>
  <c r="AB167" i="5"/>
  <c r="AC167" i="5"/>
  <c r="AF167" i="5"/>
  <c r="AG167" i="5"/>
  <c r="AH167" i="5"/>
  <c r="AI167" i="5"/>
  <c r="AK167" i="5"/>
  <c r="AN167" i="5"/>
  <c r="AO167" i="5"/>
  <c r="AP167" i="5"/>
  <c r="AQ167" i="5"/>
  <c r="G128" i="2" l="1"/>
  <c r="J129" i="2"/>
  <c r="J130" i="2"/>
  <c r="J131" i="2"/>
  <c r="J132" i="2"/>
  <c r="J133" i="2"/>
  <c r="J134" i="2"/>
  <c r="J135" i="2"/>
  <c r="J136" i="2"/>
  <c r="J137" i="2"/>
  <c r="J138" i="2"/>
  <c r="J139" i="2"/>
  <c r="J140" i="2"/>
  <c r="J141" i="2"/>
  <c r="J142" i="2"/>
  <c r="J143" i="2"/>
  <c r="J144" i="2"/>
  <c r="J145" i="2"/>
  <c r="J146" i="2"/>
  <c r="J147" i="2"/>
  <c r="J148" i="2"/>
  <c r="J149" i="2"/>
  <c r="J150" i="2"/>
  <c r="J151" i="2"/>
  <c r="J128" i="2"/>
  <c r="C129" i="2"/>
  <c r="C130" i="2"/>
  <c r="C131" i="2"/>
  <c r="C132" i="2"/>
  <c r="C133" i="2"/>
  <c r="C134" i="2"/>
  <c r="C135" i="2"/>
  <c r="C136" i="2"/>
  <c r="C137" i="2"/>
  <c r="C138" i="2"/>
  <c r="C139" i="2"/>
  <c r="C140" i="2"/>
  <c r="C141" i="2"/>
  <c r="C142" i="2"/>
  <c r="C143" i="2"/>
  <c r="C144" i="2"/>
  <c r="C145" i="2"/>
  <c r="C146" i="2"/>
  <c r="C147" i="2"/>
  <c r="C148" i="2"/>
  <c r="C149" i="2"/>
  <c r="C128" i="2"/>
  <c r="F129" i="2"/>
  <c r="F130" i="2"/>
  <c r="F131" i="2"/>
  <c r="F132" i="2"/>
  <c r="F133" i="2"/>
  <c r="F134" i="2"/>
  <c r="F135" i="2"/>
  <c r="F136" i="2"/>
  <c r="F137" i="2"/>
  <c r="F138" i="2"/>
  <c r="F139" i="2"/>
  <c r="F140" i="2"/>
  <c r="F141" i="2"/>
  <c r="F142" i="2"/>
  <c r="F143" i="2"/>
  <c r="F144" i="2"/>
  <c r="F145" i="2"/>
  <c r="F146" i="2"/>
  <c r="F147" i="2"/>
  <c r="F148" i="2"/>
  <c r="F149" i="2"/>
  <c r="F128" i="2"/>
  <c r="G132" i="2"/>
  <c r="G133" i="2"/>
  <c r="G134" i="2"/>
  <c r="G135" i="2"/>
  <c r="G136" i="2"/>
  <c r="G137" i="2"/>
  <c r="G138" i="2"/>
  <c r="G139" i="2"/>
  <c r="G140" i="2"/>
  <c r="G141" i="2"/>
  <c r="G142" i="2"/>
  <c r="G143" i="2"/>
  <c r="G144" i="2"/>
  <c r="G145" i="2"/>
  <c r="G147" i="2"/>
  <c r="H147" i="2" s="1"/>
  <c r="G148" i="2"/>
  <c r="H148" i="2" s="1"/>
  <c r="G149" i="2"/>
  <c r="H149" i="2" s="1"/>
  <c r="G129" i="2"/>
  <c r="G130" i="2"/>
  <c r="G131" i="2"/>
  <c r="C73" i="15"/>
  <c r="F73" i="15" s="1"/>
  <c r="C36" i="15"/>
  <c r="F36" i="15" s="1"/>
  <c r="C20" i="15"/>
  <c r="C9" i="15"/>
  <c r="F9" i="15" s="1"/>
  <c r="C2" i="15"/>
  <c r="E133" i="5" l="1"/>
  <c r="E132" i="5"/>
  <c r="E131" i="5"/>
  <c r="E130" i="5"/>
  <c r="E129" i="5"/>
  <c r="E128" i="5"/>
  <c r="E127" i="5"/>
  <c r="E126" i="5"/>
  <c r="E125" i="5"/>
  <c r="E124" i="5"/>
  <c r="B133" i="5"/>
  <c r="F133" i="5" s="1"/>
  <c r="B132" i="5"/>
  <c r="F132" i="5" s="1"/>
  <c r="B131" i="5"/>
  <c r="F131" i="5" s="1"/>
  <c r="B130" i="5"/>
  <c r="F130" i="5" s="1"/>
  <c r="B129" i="5"/>
  <c r="F129" i="5" s="1"/>
  <c r="B128" i="5"/>
  <c r="F128" i="5" s="1"/>
  <c r="B127" i="5"/>
  <c r="F127" i="5" s="1"/>
  <c r="B126" i="5"/>
  <c r="F126" i="5" s="1"/>
  <c r="F125" i="5"/>
  <c r="C145" i="5"/>
  <c r="EY3" i="4"/>
  <c r="EY4" i="4" s="1"/>
  <c r="EY5" i="4" s="1"/>
  <c r="EY6" i="4" s="1"/>
  <c r="EY7" i="4" s="1"/>
  <c r="EY8" i="4" s="1"/>
  <c r="EY9" i="4" s="1"/>
  <c r="EY10" i="4" s="1"/>
  <c r="EY11" i="4" s="1"/>
  <c r="EY12" i="4" s="1"/>
  <c r="EY13" i="4" s="1"/>
  <c r="EY14" i="4" s="1"/>
  <c r="EY15" i="4" s="1"/>
  <c r="EY16" i="4" s="1"/>
  <c r="EY17" i="4" s="1"/>
  <c r="EY18" i="4" s="1"/>
  <c r="EY19" i="4" s="1"/>
  <c r="EY20" i="4" s="1"/>
  <c r="EY21" i="4" s="1"/>
  <c r="EY22" i="4" s="1"/>
  <c r="EY23" i="4" s="1"/>
  <c r="EY24" i="4" s="1"/>
  <c r="EY25" i="4" s="1"/>
  <c r="EY26" i="4" s="1"/>
  <c r="EY27" i="4" s="1"/>
  <c r="EY28" i="4" s="1"/>
  <c r="EY29" i="4" s="1"/>
  <c r="EY30" i="4" s="1"/>
  <c r="EY31" i="4" s="1"/>
  <c r="EY32" i="4" s="1"/>
  <c r="EY33" i="4" s="1"/>
  <c r="EY34" i="4" s="1"/>
  <c r="EY35" i="4" s="1"/>
  <c r="EY36" i="4" s="1"/>
  <c r="EY37" i="4" s="1"/>
  <c r="EY38" i="4" s="1"/>
  <c r="EY39" i="4" s="1"/>
  <c r="EY40" i="4" s="1"/>
  <c r="EY41" i="4" s="1"/>
  <c r="EY42" i="4" s="1"/>
  <c r="EY43" i="4" s="1"/>
  <c r="EY44" i="4" s="1"/>
  <c r="EY45" i="4" s="1"/>
  <c r="EY46" i="4" s="1"/>
  <c r="EY47" i="4" s="1"/>
  <c r="EY48" i="4" s="1"/>
  <c r="EY49" i="4" s="1"/>
  <c r="EY50" i="4" s="1"/>
  <c r="EY51" i="4" s="1"/>
  <c r="EY52" i="4" s="1"/>
  <c r="EY53" i="4" s="1"/>
  <c r="EY54" i="4" s="1"/>
  <c r="EY55" i="4" s="1"/>
  <c r="EY56" i="4" s="1"/>
  <c r="EY57" i="4" s="1"/>
  <c r="EY58" i="4" s="1"/>
  <c r="EY59" i="4" s="1"/>
  <c r="EY60" i="4" s="1"/>
  <c r="EY61" i="4" s="1"/>
  <c r="EY62" i="4" s="1"/>
  <c r="EY63" i="4" s="1"/>
  <c r="EY64" i="4" s="1"/>
  <c r="EY65" i="4" s="1"/>
  <c r="EY66" i="4" s="1"/>
  <c r="EY67" i="4" s="1"/>
  <c r="EY68" i="4" s="1"/>
  <c r="EY69" i="4" s="1"/>
  <c r="EY70" i="4" s="1"/>
  <c r="EY71" i="4" s="1"/>
  <c r="EY72" i="4" s="1"/>
  <c r="EY73" i="4" s="1"/>
  <c r="EY74" i="4" s="1"/>
  <c r="EY75" i="4" s="1"/>
  <c r="EY76" i="4" s="1"/>
  <c r="EY77" i="4" s="1"/>
  <c r="EY78" i="4" s="1"/>
  <c r="EY79" i="4" s="1"/>
  <c r="EY80" i="4" s="1"/>
  <c r="EY81" i="4" s="1"/>
  <c r="EY82" i="4" s="1"/>
  <c r="EY83" i="4" s="1"/>
  <c r="EY84" i="4" s="1"/>
  <c r="EY85" i="4" s="1"/>
  <c r="EY86" i="4" s="1"/>
  <c r="EY87" i="4" s="1"/>
  <c r="EY88" i="4" s="1"/>
  <c r="EY89" i="4" s="1"/>
  <c r="EY90" i="4" s="1"/>
  <c r="EY91" i="4" s="1"/>
  <c r="EY92" i="4" s="1"/>
  <c r="EY93" i="4" s="1"/>
  <c r="EY94" i="4" s="1"/>
  <c r="EY95" i="4" s="1"/>
  <c r="EY96" i="4" s="1"/>
  <c r="EY97" i="4" s="1"/>
  <c r="EY98" i="4" s="1"/>
  <c r="EY99" i="4" s="1"/>
  <c r="EY100" i="4" s="1"/>
  <c r="EY101" i="4" s="1"/>
  <c r="EY102" i="4" s="1"/>
  <c r="EY103" i="4" s="1"/>
  <c r="EY104" i="4" s="1"/>
  <c r="EY105" i="4" s="1"/>
  <c r="EY106" i="4" s="1"/>
  <c r="EY107" i="4" s="1"/>
  <c r="EY108" i="4" s="1"/>
  <c r="EY109" i="4" s="1"/>
  <c r="EY110" i="4" s="1"/>
  <c r="EY111" i="4" s="1"/>
  <c r="EY112" i="4" s="1"/>
  <c r="EY113" i="4" s="1"/>
  <c r="EY114" i="4" s="1"/>
  <c r="EY115" i="4" s="1"/>
  <c r="EY116" i="4" s="1"/>
  <c r="EY117" i="4" s="1"/>
  <c r="EY118" i="4" s="1"/>
  <c r="EY119" i="4" s="1"/>
  <c r="EY120" i="4" s="1"/>
  <c r="EY121" i="4" s="1"/>
  <c r="EY122" i="4" s="1"/>
  <c r="EY123" i="4" s="1"/>
  <c r="EY124" i="4" s="1"/>
  <c r="EY125" i="4" s="1"/>
  <c r="EY126" i="4" s="1"/>
  <c r="EY127" i="4" s="1"/>
  <c r="EY128" i="4" s="1"/>
  <c r="EY129" i="4" s="1"/>
  <c r="EY130" i="4" s="1"/>
  <c r="EY131" i="4" s="1"/>
  <c r="EY132" i="4" s="1"/>
  <c r="EY133" i="4" s="1"/>
  <c r="EY134" i="4" s="1"/>
  <c r="EY135" i="4" s="1"/>
  <c r="EY136" i="4" s="1"/>
  <c r="EY137" i="4" s="1"/>
  <c r="EY138" i="4" s="1"/>
  <c r="EY139" i="4" s="1"/>
  <c r="EY140" i="4" s="1"/>
  <c r="EY141" i="4" s="1"/>
  <c r="EY142" i="4" s="1"/>
  <c r="EY143" i="4" s="1"/>
  <c r="EY144" i="4" s="1"/>
  <c r="EY145" i="4" s="1"/>
  <c r="EY146" i="4" s="1"/>
  <c r="EY147" i="4" s="1"/>
  <c r="EY148" i="4" s="1"/>
  <c r="EY149" i="4" s="1"/>
  <c r="EY150" i="4" s="1"/>
  <c r="EY151" i="4" s="1"/>
  <c r="EY152" i="4" s="1"/>
  <c r="EY153" i="4" s="1"/>
  <c r="EY154" i="4" s="1"/>
  <c r="EY155" i="4" s="1"/>
  <c r="EY156" i="4" s="1"/>
  <c r="EY157" i="4" s="1"/>
  <c r="EY158" i="4" s="1"/>
  <c r="EY159" i="4" s="1"/>
  <c r="EY160" i="4" s="1"/>
  <c r="EY161" i="4" s="1"/>
  <c r="EY162" i="4" s="1"/>
  <c r="EY163" i="4" s="1"/>
  <c r="EY164" i="4" s="1"/>
  <c r="EY165" i="4" s="1"/>
  <c r="EY166" i="4" s="1"/>
  <c r="EY167" i="4" s="1"/>
  <c r="EY168" i="4" s="1"/>
  <c r="EY169" i="4" s="1"/>
  <c r="EY170" i="4" s="1"/>
  <c r="EY171" i="4" s="1"/>
  <c r="EY172" i="4" s="1"/>
  <c r="EY173" i="4" s="1"/>
  <c r="EY174" i="4" s="1"/>
  <c r="EY175" i="4" s="1"/>
  <c r="EY176" i="4" s="1"/>
  <c r="EY177" i="4" s="1"/>
  <c r="EY178" i="4" s="1"/>
  <c r="EY179" i="4" s="1"/>
  <c r="EY180" i="4" s="1"/>
  <c r="EY181" i="4" s="1"/>
  <c r="EY182" i="4" s="1"/>
  <c r="EY183" i="4" s="1"/>
  <c r="EY184" i="4" s="1"/>
  <c r="EY185" i="4" s="1"/>
  <c r="EY186" i="4" s="1"/>
  <c r="EY187" i="4" s="1"/>
  <c r="EY188" i="4" s="1"/>
  <c r="EY189" i="4" s="1"/>
  <c r="EY190" i="4" s="1"/>
  <c r="EY191" i="4" s="1"/>
  <c r="EY192" i="4" s="1"/>
  <c r="EY193" i="4" s="1"/>
  <c r="EY194" i="4" s="1"/>
  <c r="EY195" i="4" s="1"/>
  <c r="EY196" i="4" s="1"/>
  <c r="EY197" i="4" s="1"/>
  <c r="EY198" i="4" s="1"/>
  <c r="EY199" i="4" s="1"/>
  <c r="EY200" i="4" s="1"/>
  <c r="EY201" i="4" s="1"/>
  <c r="EY202" i="4" s="1"/>
  <c r="EX3" i="4"/>
  <c r="EX4" i="4" s="1"/>
  <c r="EX5" i="4" s="1"/>
  <c r="EX6" i="4" s="1"/>
  <c r="EX7" i="4" s="1"/>
  <c r="EX8" i="4" s="1"/>
  <c r="EX9" i="4" s="1"/>
  <c r="EX10" i="4" s="1"/>
  <c r="EX11" i="4" s="1"/>
  <c r="EX12" i="4" s="1"/>
  <c r="EX13" i="4" s="1"/>
  <c r="EX14" i="4" s="1"/>
  <c r="EX15" i="4" s="1"/>
  <c r="EX16" i="4" s="1"/>
  <c r="EX17" i="4" s="1"/>
  <c r="EX18" i="4" s="1"/>
  <c r="EX19" i="4" s="1"/>
  <c r="EX20" i="4" s="1"/>
  <c r="EX21" i="4" s="1"/>
  <c r="EX22" i="4" s="1"/>
  <c r="EX23" i="4" s="1"/>
  <c r="EX24" i="4" s="1"/>
  <c r="EX25" i="4" s="1"/>
  <c r="EX26" i="4" s="1"/>
  <c r="EX27" i="4" s="1"/>
  <c r="EX28" i="4" s="1"/>
  <c r="EX29" i="4" s="1"/>
  <c r="EX30" i="4" s="1"/>
  <c r="EX31" i="4" s="1"/>
  <c r="EX32" i="4" s="1"/>
  <c r="EX33" i="4" s="1"/>
  <c r="EX34" i="4" s="1"/>
  <c r="EX35" i="4" s="1"/>
  <c r="EX36" i="4" s="1"/>
  <c r="EX37" i="4" s="1"/>
  <c r="EX38" i="4" s="1"/>
  <c r="EX39" i="4" s="1"/>
  <c r="EX40" i="4" s="1"/>
  <c r="EX41" i="4" s="1"/>
  <c r="EX42" i="4" s="1"/>
  <c r="EX43" i="4" s="1"/>
  <c r="EX44" i="4" s="1"/>
  <c r="EX45" i="4" s="1"/>
  <c r="EX46" i="4" s="1"/>
  <c r="EX47" i="4" s="1"/>
  <c r="EX48" i="4" s="1"/>
  <c r="EX49" i="4" s="1"/>
  <c r="EX50" i="4" s="1"/>
  <c r="EX51" i="4" s="1"/>
  <c r="EX52" i="4" s="1"/>
  <c r="EX53" i="4" s="1"/>
  <c r="EX54" i="4" s="1"/>
  <c r="EX55" i="4" s="1"/>
  <c r="EX56" i="4" s="1"/>
  <c r="EX57" i="4" s="1"/>
  <c r="EX58" i="4" s="1"/>
  <c r="EX59" i="4" s="1"/>
  <c r="EX60" i="4" s="1"/>
  <c r="EX61" i="4" s="1"/>
  <c r="EX62" i="4" s="1"/>
  <c r="EX63" i="4" s="1"/>
  <c r="EX64" i="4" s="1"/>
  <c r="EX65" i="4" s="1"/>
  <c r="EX66" i="4" s="1"/>
  <c r="EX67" i="4" s="1"/>
  <c r="EX68" i="4" s="1"/>
  <c r="EX69" i="4" s="1"/>
  <c r="EX70" i="4" s="1"/>
  <c r="EX71" i="4" s="1"/>
  <c r="EX72" i="4" s="1"/>
  <c r="EX73" i="4" s="1"/>
  <c r="EX74" i="4" s="1"/>
  <c r="EX75" i="4" s="1"/>
  <c r="EX76" i="4" s="1"/>
  <c r="EX77" i="4" s="1"/>
  <c r="EX78" i="4" s="1"/>
  <c r="EX79" i="4" s="1"/>
  <c r="EX80" i="4" s="1"/>
  <c r="EX81" i="4" s="1"/>
  <c r="EX82" i="4" s="1"/>
  <c r="EX83" i="4" s="1"/>
  <c r="EX84" i="4" s="1"/>
  <c r="EX85" i="4" s="1"/>
  <c r="EX86" i="4" s="1"/>
  <c r="EX87" i="4" s="1"/>
  <c r="EX88" i="4" s="1"/>
  <c r="EX89" i="4" s="1"/>
  <c r="EX90" i="4" s="1"/>
  <c r="EX91" i="4" s="1"/>
  <c r="EX92" i="4" s="1"/>
  <c r="EX93" i="4" s="1"/>
  <c r="EX94" i="4" s="1"/>
  <c r="EX95" i="4" s="1"/>
  <c r="EX96" i="4" s="1"/>
  <c r="EX97" i="4" s="1"/>
  <c r="EX98" i="4" s="1"/>
  <c r="EX99" i="4" s="1"/>
  <c r="EX100" i="4" s="1"/>
  <c r="EX101" i="4" s="1"/>
  <c r="EX102" i="4" s="1"/>
  <c r="EX103" i="4" s="1"/>
  <c r="EX104" i="4" s="1"/>
  <c r="EX105" i="4" s="1"/>
  <c r="EX106" i="4" s="1"/>
  <c r="EX107" i="4" s="1"/>
  <c r="EX108" i="4" s="1"/>
  <c r="EX109" i="4" s="1"/>
  <c r="EX110" i="4" s="1"/>
  <c r="EX111" i="4" s="1"/>
  <c r="EX112" i="4" s="1"/>
  <c r="EX113" i="4" s="1"/>
  <c r="EX114" i="4" s="1"/>
  <c r="EX115" i="4" s="1"/>
  <c r="EX116" i="4" s="1"/>
  <c r="EX117" i="4" s="1"/>
  <c r="EX118" i="4" s="1"/>
  <c r="EX119" i="4" s="1"/>
  <c r="EX120" i="4" s="1"/>
  <c r="EX121" i="4" s="1"/>
  <c r="EX122" i="4" s="1"/>
  <c r="EX123" i="4" s="1"/>
  <c r="EX124" i="4" s="1"/>
  <c r="EX125" i="4" s="1"/>
  <c r="EX126" i="4" s="1"/>
  <c r="EX127" i="4" s="1"/>
  <c r="EX128" i="4" s="1"/>
  <c r="EX129" i="4" s="1"/>
  <c r="EX130" i="4" s="1"/>
  <c r="EX131" i="4" s="1"/>
  <c r="EX132" i="4" s="1"/>
  <c r="EX133" i="4" s="1"/>
  <c r="EX134" i="4" s="1"/>
  <c r="EX135" i="4" s="1"/>
  <c r="EX136" i="4" s="1"/>
  <c r="EX137" i="4" s="1"/>
  <c r="EX138" i="4" s="1"/>
  <c r="EX139" i="4" s="1"/>
  <c r="EX140" i="4" s="1"/>
  <c r="EX141" i="4" s="1"/>
  <c r="EX142" i="4" s="1"/>
  <c r="EX143" i="4" s="1"/>
  <c r="EX144" i="4" s="1"/>
  <c r="EX145" i="4" s="1"/>
  <c r="EX146" i="4" s="1"/>
  <c r="EX147" i="4" s="1"/>
  <c r="EX148" i="4" s="1"/>
  <c r="EX149" i="4" s="1"/>
  <c r="EX150" i="4" s="1"/>
  <c r="EX151" i="4" s="1"/>
  <c r="EX152" i="4" s="1"/>
  <c r="EX153" i="4" s="1"/>
  <c r="EX154" i="4" s="1"/>
  <c r="EX155" i="4" s="1"/>
  <c r="EX156" i="4" s="1"/>
  <c r="EX157" i="4" s="1"/>
  <c r="EX158" i="4" s="1"/>
  <c r="EX159" i="4" s="1"/>
  <c r="EX160" i="4" s="1"/>
  <c r="EX161" i="4" s="1"/>
  <c r="EX162" i="4" s="1"/>
  <c r="EX163" i="4" s="1"/>
  <c r="EX164" i="4" s="1"/>
  <c r="EX165" i="4" s="1"/>
  <c r="EX166" i="4" s="1"/>
  <c r="EX167" i="4" s="1"/>
  <c r="EX168" i="4" s="1"/>
  <c r="EX169" i="4" s="1"/>
  <c r="EX170" i="4" s="1"/>
  <c r="EX171" i="4" s="1"/>
  <c r="EX172" i="4" s="1"/>
  <c r="EX173" i="4" s="1"/>
  <c r="EX174" i="4" s="1"/>
  <c r="EX175" i="4" s="1"/>
  <c r="EX176" i="4" s="1"/>
  <c r="EX177" i="4" s="1"/>
  <c r="EX178" i="4" s="1"/>
  <c r="EX179" i="4" s="1"/>
  <c r="EX180" i="4" s="1"/>
  <c r="EX181" i="4" s="1"/>
  <c r="EX182" i="4" s="1"/>
  <c r="EX183" i="4" s="1"/>
  <c r="EX184" i="4" s="1"/>
  <c r="EX185" i="4" s="1"/>
  <c r="EX186" i="4" s="1"/>
  <c r="EX187" i="4" s="1"/>
  <c r="EX188" i="4" s="1"/>
  <c r="EX189" i="4" s="1"/>
  <c r="EX190" i="4" s="1"/>
  <c r="EX191" i="4" s="1"/>
  <c r="EX192" i="4" s="1"/>
  <c r="EX193" i="4" s="1"/>
  <c r="EX194" i="4" s="1"/>
  <c r="EX195" i="4" s="1"/>
  <c r="EX196" i="4" s="1"/>
  <c r="EX197" i="4" s="1"/>
  <c r="EX198" i="4" s="1"/>
  <c r="EX199" i="4" s="1"/>
  <c r="EX200" i="4" s="1"/>
  <c r="EX201" i="4" s="1"/>
  <c r="EX202" i="4" s="1"/>
  <c r="EW3" i="4"/>
  <c r="EW4" i="4" s="1"/>
  <c r="EW5" i="4" s="1"/>
  <c r="EW6" i="4" s="1"/>
  <c r="EW7" i="4" s="1"/>
  <c r="EW8" i="4" s="1"/>
  <c r="EW9" i="4" s="1"/>
  <c r="EW10" i="4" s="1"/>
  <c r="EW11" i="4" s="1"/>
  <c r="EW12" i="4" s="1"/>
  <c r="EW13" i="4" s="1"/>
  <c r="EW14" i="4" s="1"/>
  <c r="EW15" i="4" s="1"/>
  <c r="EW16" i="4" s="1"/>
  <c r="EW17" i="4" s="1"/>
  <c r="EW18" i="4" s="1"/>
  <c r="EW19" i="4" s="1"/>
  <c r="EW20" i="4" s="1"/>
  <c r="EW21" i="4" s="1"/>
  <c r="EW22" i="4" s="1"/>
  <c r="EW23" i="4" s="1"/>
  <c r="EW24" i="4" s="1"/>
  <c r="EW25" i="4" s="1"/>
  <c r="EW26" i="4" s="1"/>
  <c r="EW27" i="4" s="1"/>
  <c r="EW28" i="4" s="1"/>
  <c r="EW29" i="4" s="1"/>
  <c r="EW30" i="4" s="1"/>
  <c r="EW31" i="4" s="1"/>
  <c r="EW32" i="4" s="1"/>
  <c r="EW33" i="4" s="1"/>
  <c r="EW34" i="4" s="1"/>
  <c r="EW35" i="4" s="1"/>
  <c r="EW36" i="4" s="1"/>
  <c r="EW37" i="4" s="1"/>
  <c r="EW38" i="4" s="1"/>
  <c r="EW39" i="4" s="1"/>
  <c r="EW40" i="4" s="1"/>
  <c r="EW41" i="4" s="1"/>
  <c r="EW42" i="4" s="1"/>
  <c r="EW43" i="4" s="1"/>
  <c r="EW44" i="4" s="1"/>
  <c r="EW45" i="4" s="1"/>
  <c r="EW46" i="4" s="1"/>
  <c r="EW47" i="4" s="1"/>
  <c r="EW48" i="4" s="1"/>
  <c r="EW49" i="4" s="1"/>
  <c r="EW50" i="4" s="1"/>
  <c r="EW51" i="4" s="1"/>
  <c r="EW52" i="4" s="1"/>
  <c r="EW53" i="4" s="1"/>
  <c r="EW54" i="4" s="1"/>
  <c r="EW55" i="4" s="1"/>
  <c r="EW56" i="4" s="1"/>
  <c r="EW57" i="4" s="1"/>
  <c r="EW58" i="4" s="1"/>
  <c r="EW59" i="4" s="1"/>
  <c r="EW60" i="4" s="1"/>
  <c r="EW61" i="4" s="1"/>
  <c r="EW62" i="4" s="1"/>
  <c r="EW63" i="4" s="1"/>
  <c r="EW64" i="4" s="1"/>
  <c r="EW65" i="4" s="1"/>
  <c r="EW66" i="4" s="1"/>
  <c r="EW67" i="4" s="1"/>
  <c r="EW68" i="4" s="1"/>
  <c r="EW69" i="4" s="1"/>
  <c r="EW70" i="4" s="1"/>
  <c r="EW71" i="4" s="1"/>
  <c r="EW72" i="4" s="1"/>
  <c r="EW73" i="4" s="1"/>
  <c r="EW74" i="4" s="1"/>
  <c r="EW75" i="4" s="1"/>
  <c r="EW76" i="4" s="1"/>
  <c r="EW77" i="4" s="1"/>
  <c r="EW78" i="4" s="1"/>
  <c r="EW79" i="4" s="1"/>
  <c r="EW80" i="4" s="1"/>
  <c r="EW81" i="4" s="1"/>
  <c r="EW82" i="4" s="1"/>
  <c r="EW83" i="4" s="1"/>
  <c r="EW84" i="4" s="1"/>
  <c r="EW85" i="4" s="1"/>
  <c r="EW86" i="4" s="1"/>
  <c r="EW87" i="4" s="1"/>
  <c r="EW88" i="4" s="1"/>
  <c r="EW89" i="4" s="1"/>
  <c r="EW90" i="4" s="1"/>
  <c r="EW91" i="4" s="1"/>
  <c r="EW92" i="4" s="1"/>
  <c r="EW93" i="4" s="1"/>
  <c r="EW94" i="4" s="1"/>
  <c r="EW95" i="4" s="1"/>
  <c r="EW96" i="4" s="1"/>
  <c r="EW97" i="4" s="1"/>
  <c r="EW98" i="4" s="1"/>
  <c r="EW99" i="4" s="1"/>
  <c r="EW100" i="4" s="1"/>
  <c r="EW101" i="4" s="1"/>
  <c r="EW102" i="4" s="1"/>
  <c r="EW103" i="4" s="1"/>
  <c r="EW104" i="4" s="1"/>
  <c r="EW105" i="4" s="1"/>
  <c r="EW106" i="4" s="1"/>
  <c r="EW107" i="4" s="1"/>
  <c r="EW108" i="4" s="1"/>
  <c r="EW109" i="4" s="1"/>
  <c r="EW110" i="4" s="1"/>
  <c r="EW111" i="4" s="1"/>
  <c r="EW112" i="4" s="1"/>
  <c r="EW113" i="4" s="1"/>
  <c r="EW114" i="4" s="1"/>
  <c r="EW115" i="4" s="1"/>
  <c r="EW116" i="4" s="1"/>
  <c r="EW117" i="4" s="1"/>
  <c r="EW118" i="4" s="1"/>
  <c r="EW119" i="4" s="1"/>
  <c r="EW120" i="4" s="1"/>
  <c r="EW121" i="4" s="1"/>
  <c r="EW122" i="4" s="1"/>
  <c r="EW123" i="4" s="1"/>
  <c r="EW124" i="4" s="1"/>
  <c r="EW125" i="4" s="1"/>
  <c r="EW126" i="4" s="1"/>
  <c r="EW127" i="4" s="1"/>
  <c r="EW128" i="4" s="1"/>
  <c r="EW129" i="4" s="1"/>
  <c r="EW130" i="4" s="1"/>
  <c r="EW131" i="4" s="1"/>
  <c r="EW132" i="4" s="1"/>
  <c r="EW133" i="4" s="1"/>
  <c r="EW134" i="4" s="1"/>
  <c r="EW135" i="4" s="1"/>
  <c r="EW136" i="4" s="1"/>
  <c r="EW137" i="4" s="1"/>
  <c r="EW138" i="4" s="1"/>
  <c r="EW139" i="4" s="1"/>
  <c r="EW140" i="4" s="1"/>
  <c r="EW141" i="4" s="1"/>
  <c r="EW142" i="4" s="1"/>
  <c r="EW143" i="4" s="1"/>
  <c r="EW144" i="4" s="1"/>
  <c r="EW145" i="4" s="1"/>
  <c r="EW146" i="4" s="1"/>
  <c r="EW147" i="4" s="1"/>
  <c r="EW148" i="4" s="1"/>
  <c r="EW149" i="4" s="1"/>
  <c r="EW150" i="4" s="1"/>
  <c r="EW151" i="4" s="1"/>
  <c r="EW152" i="4" s="1"/>
  <c r="EW153" i="4" s="1"/>
  <c r="EW154" i="4" s="1"/>
  <c r="EW155" i="4" s="1"/>
  <c r="EW156" i="4" s="1"/>
  <c r="EW157" i="4" s="1"/>
  <c r="EW158" i="4" s="1"/>
  <c r="EW159" i="4" s="1"/>
  <c r="EW160" i="4" s="1"/>
  <c r="EW161" i="4" s="1"/>
  <c r="EW162" i="4" s="1"/>
  <c r="EW163" i="4" s="1"/>
  <c r="EW164" i="4" s="1"/>
  <c r="EW165" i="4" s="1"/>
  <c r="EW166" i="4" s="1"/>
  <c r="EW167" i="4" s="1"/>
  <c r="EW168" i="4" s="1"/>
  <c r="EW169" i="4" s="1"/>
  <c r="EW170" i="4" s="1"/>
  <c r="EW171" i="4" s="1"/>
  <c r="EW172" i="4" s="1"/>
  <c r="EW173" i="4" s="1"/>
  <c r="EW174" i="4" s="1"/>
  <c r="EW175" i="4" s="1"/>
  <c r="EW176" i="4" s="1"/>
  <c r="EW177" i="4" s="1"/>
  <c r="EW178" i="4" s="1"/>
  <c r="EW179" i="4" s="1"/>
  <c r="EW180" i="4" s="1"/>
  <c r="EW181" i="4" s="1"/>
  <c r="EW182" i="4" s="1"/>
  <c r="EW183" i="4" s="1"/>
  <c r="EW184" i="4" s="1"/>
  <c r="EW185" i="4" s="1"/>
  <c r="EW186" i="4" s="1"/>
  <c r="EW187" i="4" s="1"/>
  <c r="EW188" i="4" s="1"/>
  <c r="EW189" i="4" s="1"/>
  <c r="EW190" i="4" s="1"/>
  <c r="EW191" i="4" s="1"/>
  <c r="EW192" i="4" s="1"/>
  <c r="EW193" i="4" s="1"/>
  <c r="EW194" i="4" s="1"/>
  <c r="EW195" i="4" s="1"/>
  <c r="EW196" i="4" s="1"/>
  <c r="EW197" i="4" s="1"/>
  <c r="EW198" i="4" s="1"/>
  <c r="EW199" i="4" s="1"/>
  <c r="EW200" i="4" s="1"/>
  <c r="EW201" i="4" s="1"/>
  <c r="EW202" i="4" s="1"/>
  <c r="EV3" i="4"/>
  <c r="EV4" i="4" s="1"/>
  <c r="EV5" i="4" s="1"/>
  <c r="EV6" i="4" s="1"/>
  <c r="EV7" i="4" s="1"/>
  <c r="EV8" i="4" s="1"/>
  <c r="EV9" i="4" s="1"/>
  <c r="EV10" i="4" s="1"/>
  <c r="EV11" i="4" s="1"/>
  <c r="EV12" i="4" s="1"/>
  <c r="EV13" i="4" s="1"/>
  <c r="EV14" i="4" s="1"/>
  <c r="EV15" i="4" s="1"/>
  <c r="EV16" i="4" s="1"/>
  <c r="EV17" i="4" s="1"/>
  <c r="EV18" i="4" s="1"/>
  <c r="EV19" i="4" s="1"/>
  <c r="EV20" i="4" s="1"/>
  <c r="EV21" i="4" s="1"/>
  <c r="EV22" i="4" s="1"/>
  <c r="EV23" i="4" s="1"/>
  <c r="EV24" i="4" s="1"/>
  <c r="EV25" i="4" s="1"/>
  <c r="EV26" i="4" s="1"/>
  <c r="EV27" i="4" s="1"/>
  <c r="EV28" i="4" s="1"/>
  <c r="EV29" i="4" s="1"/>
  <c r="EV30" i="4" s="1"/>
  <c r="EV31" i="4" s="1"/>
  <c r="EV32" i="4" s="1"/>
  <c r="EV33" i="4" s="1"/>
  <c r="EV34" i="4" s="1"/>
  <c r="EV35" i="4" s="1"/>
  <c r="EV36" i="4" s="1"/>
  <c r="EV37" i="4" s="1"/>
  <c r="EV38" i="4" s="1"/>
  <c r="EV39" i="4" s="1"/>
  <c r="EV40" i="4" s="1"/>
  <c r="EV41" i="4" s="1"/>
  <c r="EV42" i="4" s="1"/>
  <c r="EV43" i="4" s="1"/>
  <c r="EV44" i="4" s="1"/>
  <c r="EV45" i="4" s="1"/>
  <c r="EV46" i="4" s="1"/>
  <c r="EV47" i="4" s="1"/>
  <c r="EV48" i="4" s="1"/>
  <c r="EV49" i="4" s="1"/>
  <c r="EV50" i="4" s="1"/>
  <c r="EV51" i="4" s="1"/>
  <c r="EV52" i="4" s="1"/>
  <c r="EV53" i="4" s="1"/>
  <c r="EV54" i="4" s="1"/>
  <c r="EV55" i="4" s="1"/>
  <c r="EV56" i="4" s="1"/>
  <c r="EV57" i="4" s="1"/>
  <c r="EV58" i="4" s="1"/>
  <c r="EV59" i="4" s="1"/>
  <c r="EV60" i="4" s="1"/>
  <c r="EV61" i="4" s="1"/>
  <c r="EV62" i="4" s="1"/>
  <c r="EV63" i="4" s="1"/>
  <c r="EV64" i="4" s="1"/>
  <c r="EV65" i="4" s="1"/>
  <c r="EV66" i="4" s="1"/>
  <c r="EV67" i="4" s="1"/>
  <c r="EV68" i="4" s="1"/>
  <c r="EV69" i="4" s="1"/>
  <c r="EV70" i="4" s="1"/>
  <c r="EV71" i="4" s="1"/>
  <c r="EV72" i="4" s="1"/>
  <c r="EV73" i="4" s="1"/>
  <c r="EV74" i="4" s="1"/>
  <c r="EV75" i="4" s="1"/>
  <c r="EV76" i="4" s="1"/>
  <c r="EV77" i="4" s="1"/>
  <c r="EV78" i="4" s="1"/>
  <c r="EV79" i="4" s="1"/>
  <c r="EV80" i="4" s="1"/>
  <c r="EV81" i="4" s="1"/>
  <c r="EV82" i="4" s="1"/>
  <c r="EV83" i="4" s="1"/>
  <c r="EV84" i="4" s="1"/>
  <c r="EV85" i="4" s="1"/>
  <c r="EV86" i="4" s="1"/>
  <c r="EV87" i="4" s="1"/>
  <c r="EV88" i="4" s="1"/>
  <c r="EV89" i="4" s="1"/>
  <c r="EV90" i="4" s="1"/>
  <c r="EV91" i="4" s="1"/>
  <c r="EV92" i="4" s="1"/>
  <c r="EV93" i="4" s="1"/>
  <c r="EV94" i="4" s="1"/>
  <c r="EV95" i="4" s="1"/>
  <c r="EV96" i="4" s="1"/>
  <c r="EV97" i="4" s="1"/>
  <c r="EV98" i="4" s="1"/>
  <c r="EV99" i="4" s="1"/>
  <c r="EV100" i="4" s="1"/>
  <c r="EV101" i="4" s="1"/>
  <c r="EV102" i="4" s="1"/>
  <c r="EV103" i="4" s="1"/>
  <c r="EV104" i="4" s="1"/>
  <c r="EV105" i="4" s="1"/>
  <c r="EV106" i="4" s="1"/>
  <c r="EV107" i="4" s="1"/>
  <c r="EV108" i="4" s="1"/>
  <c r="EV109" i="4" s="1"/>
  <c r="EV110" i="4" s="1"/>
  <c r="EV111" i="4" s="1"/>
  <c r="EV112" i="4" s="1"/>
  <c r="EV113" i="4" s="1"/>
  <c r="EV114" i="4" s="1"/>
  <c r="EV115" i="4" s="1"/>
  <c r="EV116" i="4" s="1"/>
  <c r="EV117" i="4" s="1"/>
  <c r="EV118" i="4" s="1"/>
  <c r="EV119" i="4" s="1"/>
  <c r="EV120" i="4" s="1"/>
  <c r="EV121" i="4" s="1"/>
  <c r="EV122" i="4" s="1"/>
  <c r="EV123" i="4" s="1"/>
  <c r="EV124" i="4" s="1"/>
  <c r="EV125" i="4" s="1"/>
  <c r="EV126" i="4" s="1"/>
  <c r="EV127" i="4" s="1"/>
  <c r="EV128" i="4" s="1"/>
  <c r="EV129" i="4" s="1"/>
  <c r="EV130" i="4" s="1"/>
  <c r="EV131" i="4" s="1"/>
  <c r="EV132" i="4" s="1"/>
  <c r="EV133" i="4" s="1"/>
  <c r="EV134" i="4" s="1"/>
  <c r="EV135" i="4" s="1"/>
  <c r="EV136" i="4" s="1"/>
  <c r="EV137" i="4" s="1"/>
  <c r="EV138" i="4" s="1"/>
  <c r="EV139" i="4" s="1"/>
  <c r="EV140" i="4" s="1"/>
  <c r="EV141" i="4" s="1"/>
  <c r="EV142" i="4" s="1"/>
  <c r="EV143" i="4" s="1"/>
  <c r="EV144" i="4" s="1"/>
  <c r="EV145" i="4" s="1"/>
  <c r="EV146" i="4" s="1"/>
  <c r="EV147" i="4" s="1"/>
  <c r="EV148" i="4" s="1"/>
  <c r="EV149" i="4" s="1"/>
  <c r="EV150" i="4" s="1"/>
  <c r="EV151" i="4" s="1"/>
  <c r="EV152" i="4" s="1"/>
  <c r="EV153" i="4" s="1"/>
  <c r="EV154" i="4" s="1"/>
  <c r="EV155" i="4" s="1"/>
  <c r="EV156" i="4" s="1"/>
  <c r="EV157" i="4" s="1"/>
  <c r="EV158" i="4" s="1"/>
  <c r="EV159" i="4" s="1"/>
  <c r="EV160" i="4" s="1"/>
  <c r="EV161" i="4" s="1"/>
  <c r="EV162" i="4" s="1"/>
  <c r="EV163" i="4" s="1"/>
  <c r="EV164" i="4" s="1"/>
  <c r="EV165" i="4" s="1"/>
  <c r="EV166" i="4" s="1"/>
  <c r="EV167" i="4" s="1"/>
  <c r="EV168" i="4" s="1"/>
  <c r="EV169" i="4" s="1"/>
  <c r="EV170" i="4" s="1"/>
  <c r="EV171" i="4" s="1"/>
  <c r="EV172" i="4" s="1"/>
  <c r="EV173" i="4" s="1"/>
  <c r="EV174" i="4" s="1"/>
  <c r="EV175" i="4" s="1"/>
  <c r="EV176" i="4" s="1"/>
  <c r="EV177" i="4" s="1"/>
  <c r="EV178" i="4" s="1"/>
  <c r="EV179" i="4" s="1"/>
  <c r="EV180" i="4" s="1"/>
  <c r="EV181" i="4" s="1"/>
  <c r="EV182" i="4" s="1"/>
  <c r="EV183" i="4" s="1"/>
  <c r="EV184" i="4" s="1"/>
  <c r="EV185" i="4" s="1"/>
  <c r="EV186" i="4" s="1"/>
  <c r="EV187" i="4" s="1"/>
  <c r="EV188" i="4" s="1"/>
  <c r="EV189" i="4" s="1"/>
  <c r="EV190" i="4" s="1"/>
  <c r="EV191" i="4" s="1"/>
  <c r="EV192" i="4" s="1"/>
  <c r="EV193" i="4" s="1"/>
  <c r="EV194" i="4" s="1"/>
  <c r="EV195" i="4" s="1"/>
  <c r="EV196" i="4" s="1"/>
  <c r="EV197" i="4" s="1"/>
  <c r="EV198" i="4" s="1"/>
  <c r="EV199" i="4" s="1"/>
  <c r="EV200" i="4" s="1"/>
  <c r="EV201" i="4" s="1"/>
  <c r="EV202" i="4" s="1"/>
  <c r="EU3" i="4"/>
  <c r="EU4" i="4" s="1"/>
  <c r="EU5" i="4" s="1"/>
  <c r="EU6" i="4" s="1"/>
  <c r="EU7" i="4" s="1"/>
  <c r="EU8" i="4" s="1"/>
  <c r="EU9" i="4" s="1"/>
  <c r="EU10" i="4" s="1"/>
  <c r="EU11" i="4" s="1"/>
  <c r="EU12" i="4" s="1"/>
  <c r="EU13" i="4" s="1"/>
  <c r="EU14" i="4" s="1"/>
  <c r="EU15" i="4" s="1"/>
  <c r="EU16" i="4" s="1"/>
  <c r="EU17" i="4" s="1"/>
  <c r="EU18" i="4" s="1"/>
  <c r="EU19" i="4" s="1"/>
  <c r="EU20" i="4" s="1"/>
  <c r="EU21" i="4" s="1"/>
  <c r="EU22" i="4" s="1"/>
  <c r="EU23" i="4" s="1"/>
  <c r="EU24" i="4" s="1"/>
  <c r="EU25" i="4" s="1"/>
  <c r="EU26" i="4" s="1"/>
  <c r="EU27" i="4" s="1"/>
  <c r="EU28" i="4" s="1"/>
  <c r="EU29" i="4" s="1"/>
  <c r="EU30" i="4" s="1"/>
  <c r="EU31" i="4" s="1"/>
  <c r="EU32" i="4" s="1"/>
  <c r="EU33" i="4" s="1"/>
  <c r="EU34" i="4" s="1"/>
  <c r="EU35" i="4" s="1"/>
  <c r="EU36" i="4" s="1"/>
  <c r="EU37" i="4" s="1"/>
  <c r="EU38" i="4" s="1"/>
  <c r="EU39" i="4" s="1"/>
  <c r="EU40" i="4" s="1"/>
  <c r="EU41" i="4" s="1"/>
  <c r="EU42" i="4" s="1"/>
  <c r="EU43" i="4" s="1"/>
  <c r="EU44" i="4" s="1"/>
  <c r="EU45" i="4" s="1"/>
  <c r="EU46" i="4" s="1"/>
  <c r="EU47" i="4" s="1"/>
  <c r="EU48" i="4" s="1"/>
  <c r="EU49" i="4" s="1"/>
  <c r="EU50" i="4" s="1"/>
  <c r="EU51" i="4" s="1"/>
  <c r="EU52" i="4" s="1"/>
  <c r="EU53" i="4" s="1"/>
  <c r="EU54" i="4" s="1"/>
  <c r="EU55" i="4" s="1"/>
  <c r="EU56" i="4" s="1"/>
  <c r="EU57" i="4" s="1"/>
  <c r="EU58" i="4" s="1"/>
  <c r="EU59" i="4" s="1"/>
  <c r="EU60" i="4" s="1"/>
  <c r="EU61" i="4" s="1"/>
  <c r="EU62" i="4" s="1"/>
  <c r="EU63" i="4" s="1"/>
  <c r="EU64" i="4" s="1"/>
  <c r="EU65" i="4" s="1"/>
  <c r="EU66" i="4" s="1"/>
  <c r="EU67" i="4" s="1"/>
  <c r="EU68" i="4" s="1"/>
  <c r="EU69" i="4" s="1"/>
  <c r="EU70" i="4" s="1"/>
  <c r="EU71" i="4" s="1"/>
  <c r="EU72" i="4" s="1"/>
  <c r="EU73" i="4" s="1"/>
  <c r="EU74" i="4" s="1"/>
  <c r="EU75" i="4" s="1"/>
  <c r="EU76" i="4" s="1"/>
  <c r="EU77" i="4" s="1"/>
  <c r="EU78" i="4" s="1"/>
  <c r="EU79" i="4" s="1"/>
  <c r="EU80" i="4" s="1"/>
  <c r="EU81" i="4" s="1"/>
  <c r="EU82" i="4" s="1"/>
  <c r="EU83" i="4" s="1"/>
  <c r="EU84" i="4" s="1"/>
  <c r="EU85" i="4" s="1"/>
  <c r="EU86" i="4" s="1"/>
  <c r="EU87" i="4" s="1"/>
  <c r="EU88" i="4" s="1"/>
  <c r="EU89" i="4" s="1"/>
  <c r="EU90" i="4" s="1"/>
  <c r="EU91" i="4" s="1"/>
  <c r="EU92" i="4" s="1"/>
  <c r="EU93" i="4" s="1"/>
  <c r="EU94" i="4" s="1"/>
  <c r="EU95" i="4" s="1"/>
  <c r="EU96" i="4" s="1"/>
  <c r="EU97" i="4" s="1"/>
  <c r="EU98" i="4" s="1"/>
  <c r="EU99" i="4" s="1"/>
  <c r="EU100" i="4" s="1"/>
  <c r="EU101" i="4" s="1"/>
  <c r="EU102" i="4" s="1"/>
  <c r="EU103" i="4" s="1"/>
  <c r="EU104" i="4" s="1"/>
  <c r="EU105" i="4" s="1"/>
  <c r="EU106" i="4" s="1"/>
  <c r="EU107" i="4" s="1"/>
  <c r="EU108" i="4" s="1"/>
  <c r="EU109" i="4" s="1"/>
  <c r="EU110" i="4" s="1"/>
  <c r="EU111" i="4" s="1"/>
  <c r="EU112" i="4" s="1"/>
  <c r="EU113" i="4" s="1"/>
  <c r="EU114" i="4" s="1"/>
  <c r="EU115" i="4" s="1"/>
  <c r="EU116" i="4" s="1"/>
  <c r="EU117" i="4" s="1"/>
  <c r="EU118" i="4" s="1"/>
  <c r="EU119" i="4" s="1"/>
  <c r="EU120" i="4" s="1"/>
  <c r="EU121" i="4" s="1"/>
  <c r="EU122" i="4" s="1"/>
  <c r="EU123" i="4" s="1"/>
  <c r="EU124" i="4" s="1"/>
  <c r="EU125" i="4" s="1"/>
  <c r="EU126" i="4" s="1"/>
  <c r="EU127" i="4" s="1"/>
  <c r="EU128" i="4" s="1"/>
  <c r="EU129" i="4" s="1"/>
  <c r="EU130" i="4" s="1"/>
  <c r="EU131" i="4" s="1"/>
  <c r="EU132" i="4" s="1"/>
  <c r="EU133" i="4" s="1"/>
  <c r="EU134" i="4" s="1"/>
  <c r="EU135" i="4" s="1"/>
  <c r="EU136" i="4" s="1"/>
  <c r="EU137" i="4" s="1"/>
  <c r="EU138" i="4" s="1"/>
  <c r="EU139" i="4" s="1"/>
  <c r="EU140" i="4" s="1"/>
  <c r="EU141" i="4" s="1"/>
  <c r="EU142" i="4" s="1"/>
  <c r="EU143" i="4" s="1"/>
  <c r="EU144" i="4" s="1"/>
  <c r="EU145" i="4" s="1"/>
  <c r="EU146" i="4" s="1"/>
  <c r="EU147" i="4" s="1"/>
  <c r="EU148" i="4" s="1"/>
  <c r="EU149" i="4" s="1"/>
  <c r="EU150" i="4" s="1"/>
  <c r="EU151" i="4" s="1"/>
  <c r="EU152" i="4" s="1"/>
  <c r="EU153" i="4" s="1"/>
  <c r="EU154" i="4" s="1"/>
  <c r="EU155" i="4" s="1"/>
  <c r="EU156" i="4" s="1"/>
  <c r="EU157" i="4" s="1"/>
  <c r="EU158" i="4" s="1"/>
  <c r="EU159" i="4" s="1"/>
  <c r="EU160" i="4" s="1"/>
  <c r="EU161" i="4" s="1"/>
  <c r="EU162" i="4" s="1"/>
  <c r="EU163" i="4" s="1"/>
  <c r="EU164" i="4" s="1"/>
  <c r="EU165" i="4" s="1"/>
  <c r="EU166" i="4" s="1"/>
  <c r="EU167" i="4" s="1"/>
  <c r="EU168" i="4" s="1"/>
  <c r="EU169" i="4" s="1"/>
  <c r="EU170" i="4" s="1"/>
  <c r="EU171" i="4" s="1"/>
  <c r="EU172" i="4" s="1"/>
  <c r="EU173" i="4" s="1"/>
  <c r="EU174" i="4" s="1"/>
  <c r="EU175" i="4" s="1"/>
  <c r="EU176" i="4" s="1"/>
  <c r="EU177" i="4" s="1"/>
  <c r="EU178" i="4" s="1"/>
  <c r="EU179" i="4" s="1"/>
  <c r="EU180" i="4" s="1"/>
  <c r="EU181" i="4" s="1"/>
  <c r="EU182" i="4" s="1"/>
  <c r="EU183" i="4" s="1"/>
  <c r="EU184" i="4" s="1"/>
  <c r="EU185" i="4" s="1"/>
  <c r="EU186" i="4" s="1"/>
  <c r="EU187" i="4" s="1"/>
  <c r="EU188" i="4" s="1"/>
  <c r="EU189" i="4" s="1"/>
  <c r="EU190" i="4" s="1"/>
  <c r="EU191" i="4" s="1"/>
  <c r="EU192" i="4" s="1"/>
  <c r="EU193" i="4" s="1"/>
  <c r="EU194" i="4" s="1"/>
  <c r="EU195" i="4" s="1"/>
  <c r="EU196" i="4" s="1"/>
  <c r="EU197" i="4" s="1"/>
  <c r="EU198" i="4" s="1"/>
  <c r="EU199" i="4" s="1"/>
  <c r="EU200" i="4" s="1"/>
  <c r="EU201" i="4" s="1"/>
  <c r="EU202" i="4" s="1"/>
  <c r="ET3" i="4"/>
  <c r="ET4" i="4" s="1"/>
  <c r="ET5" i="4" s="1"/>
  <c r="ET6" i="4" s="1"/>
  <c r="ET7" i="4" s="1"/>
  <c r="ET8" i="4" s="1"/>
  <c r="ET9" i="4" s="1"/>
  <c r="ET10" i="4" s="1"/>
  <c r="ET11" i="4" s="1"/>
  <c r="ET12" i="4" s="1"/>
  <c r="ET13" i="4" s="1"/>
  <c r="ET14" i="4" s="1"/>
  <c r="ET15" i="4" s="1"/>
  <c r="ET16" i="4" s="1"/>
  <c r="ET17" i="4" s="1"/>
  <c r="ET18" i="4" s="1"/>
  <c r="ET19" i="4" s="1"/>
  <c r="ET20" i="4" s="1"/>
  <c r="ET21" i="4" s="1"/>
  <c r="ET22" i="4" s="1"/>
  <c r="ET23" i="4" s="1"/>
  <c r="ET24" i="4" s="1"/>
  <c r="ET25" i="4" s="1"/>
  <c r="ET26" i="4" s="1"/>
  <c r="ET27" i="4" s="1"/>
  <c r="ET28" i="4" s="1"/>
  <c r="ET29" i="4" s="1"/>
  <c r="ET30" i="4" s="1"/>
  <c r="ET31" i="4" s="1"/>
  <c r="ET32" i="4" s="1"/>
  <c r="ET33" i="4" s="1"/>
  <c r="ET34" i="4" s="1"/>
  <c r="ET35" i="4" s="1"/>
  <c r="ET36" i="4" s="1"/>
  <c r="ET37" i="4" s="1"/>
  <c r="ET38" i="4" s="1"/>
  <c r="ET39" i="4" s="1"/>
  <c r="ET40" i="4" s="1"/>
  <c r="ET41" i="4" s="1"/>
  <c r="ET42" i="4" s="1"/>
  <c r="ET43" i="4" s="1"/>
  <c r="ET44" i="4" s="1"/>
  <c r="ET45" i="4" s="1"/>
  <c r="ET46" i="4" s="1"/>
  <c r="ET47" i="4" s="1"/>
  <c r="ET48" i="4" s="1"/>
  <c r="ET49" i="4" s="1"/>
  <c r="ET50" i="4" s="1"/>
  <c r="ET51" i="4" s="1"/>
  <c r="ET52" i="4" s="1"/>
  <c r="ET53" i="4" s="1"/>
  <c r="ET54" i="4" s="1"/>
  <c r="ET55" i="4" s="1"/>
  <c r="ET56" i="4" s="1"/>
  <c r="ET57" i="4" s="1"/>
  <c r="ET58" i="4" s="1"/>
  <c r="ET59" i="4" s="1"/>
  <c r="ET60" i="4" s="1"/>
  <c r="ET61" i="4" s="1"/>
  <c r="ET62" i="4" s="1"/>
  <c r="ET63" i="4" s="1"/>
  <c r="ET64" i="4" s="1"/>
  <c r="ET65" i="4" s="1"/>
  <c r="ET66" i="4" s="1"/>
  <c r="ET67" i="4" s="1"/>
  <c r="ET68" i="4" s="1"/>
  <c r="ET69" i="4" s="1"/>
  <c r="ET70" i="4" s="1"/>
  <c r="ET71" i="4" s="1"/>
  <c r="ET72" i="4" s="1"/>
  <c r="ET73" i="4" s="1"/>
  <c r="ET74" i="4" s="1"/>
  <c r="ET75" i="4" s="1"/>
  <c r="ET76" i="4" s="1"/>
  <c r="ET77" i="4" s="1"/>
  <c r="ET78" i="4" s="1"/>
  <c r="ET79" i="4" s="1"/>
  <c r="ET80" i="4" s="1"/>
  <c r="ET81" i="4" s="1"/>
  <c r="ET82" i="4" s="1"/>
  <c r="ET83" i="4" s="1"/>
  <c r="ET84" i="4" s="1"/>
  <c r="ET85" i="4" s="1"/>
  <c r="ET86" i="4" s="1"/>
  <c r="ET87" i="4" s="1"/>
  <c r="ET88" i="4" s="1"/>
  <c r="ET89" i="4" s="1"/>
  <c r="ET90" i="4" s="1"/>
  <c r="ET91" i="4" s="1"/>
  <c r="ET92" i="4" s="1"/>
  <c r="ET93" i="4" s="1"/>
  <c r="ET94" i="4" s="1"/>
  <c r="ET95" i="4" s="1"/>
  <c r="ET96" i="4" s="1"/>
  <c r="ET97" i="4" s="1"/>
  <c r="ET98" i="4" s="1"/>
  <c r="ET99" i="4" s="1"/>
  <c r="ET100" i="4" s="1"/>
  <c r="ET101" i="4" s="1"/>
  <c r="ET102" i="4" s="1"/>
  <c r="ET103" i="4" s="1"/>
  <c r="ET104" i="4" s="1"/>
  <c r="ET105" i="4" s="1"/>
  <c r="ET106" i="4" s="1"/>
  <c r="ET107" i="4" s="1"/>
  <c r="ET108" i="4" s="1"/>
  <c r="ET109" i="4" s="1"/>
  <c r="ET110" i="4" s="1"/>
  <c r="ET111" i="4" s="1"/>
  <c r="ET112" i="4" s="1"/>
  <c r="ET113" i="4" s="1"/>
  <c r="ET114" i="4" s="1"/>
  <c r="ET115" i="4" s="1"/>
  <c r="ET116" i="4" s="1"/>
  <c r="ET117" i="4" s="1"/>
  <c r="ET118" i="4" s="1"/>
  <c r="ET119" i="4" s="1"/>
  <c r="ET120" i="4" s="1"/>
  <c r="ET121" i="4" s="1"/>
  <c r="ET122" i="4" s="1"/>
  <c r="ET123" i="4" s="1"/>
  <c r="ET124" i="4" s="1"/>
  <c r="ET125" i="4" s="1"/>
  <c r="ET126" i="4" s="1"/>
  <c r="ET127" i="4" s="1"/>
  <c r="ET128" i="4" s="1"/>
  <c r="ET129" i="4" s="1"/>
  <c r="ET130" i="4" s="1"/>
  <c r="ET131" i="4" s="1"/>
  <c r="ET132" i="4" s="1"/>
  <c r="ET133" i="4" s="1"/>
  <c r="ET134" i="4" s="1"/>
  <c r="ET135" i="4" s="1"/>
  <c r="ET136" i="4" s="1"/>
  <c r="ET137" i="4" s="1"/>
  <c r="ET138" i="4" s="1"/>
  <c r="ET139" i="4" s="1"/>
  <c r="ET140" i="4" s="1"/>
  <c r="ET141" i="4" s="1"/>
  <c r="ET142" i="4" s="1"/>
  <c r="ET143" i="4" s="1"/>
  <c r="ET144" i="4" s="1"/>
  <c r="ET145" i="4" s="1"/>
  <c r="ET146" i="4" s="1"/>
  <c r="ET147" i="4" s="1"/>
  <c r="ET148" i="4" s="1"/>
  <c r="ET149" i="4" s="1"/>
  <c r="ET150" i="4" s="1"/>
  <c r="ET151" i="4" s="1"/>
  <c r="ET152" i="4" s="1"/>
  <c r="ET153" i="4" s="1"/>
  <c r="ET154" i="4" s="1"/>
  <c r="ET155" i="4" s="1"/>
  <c r="ET156" i="4" s="1"/>
  <c r="ET157" i="4" s="1"/>
  <c r="ET158" i="4" s="1"/>
  <c r="ET159" i="4" s="1"/>
  <c r="ET160" i="4" s="1"/>
  <c r="ET161" i="4" s="1"/>
  <c r="ET162" i="4" s="1"/>
  <c r="ET163" i="4" s="1"/>
  <c r="ET164" i="4" s="1"/>
  <c r="ET165" i="4" s="1"/>
  <c r="ET166" i="4" s="1"/>
  <c r="ET167" i="4" s="1"/>
  <c r="ET168" i="4" s="1"/>
  <c r="ET169" i="4" s="1"/>
  <c r="ET170" i="4" s="1"/>
  <c r="ET171" i="4" s="1"/>
  <c r="ET172" i="4" s="1"/>
  <c r="ET173" i="4" s="1"/>
  <c r="ET174" i="4" s="1"/>
  <c r="ET175" i="4" s="1"/>
  <c r="ET176" i="4" s="1"/>
  <c r="ET177" i="4" s="1"/>
  <c r="ET178" i="4" s="1"/>
  <c r="ET179" i="4" s="1"/>
  <c r="ET180" i="4" s="1"/>
  <c r="ET181" i="4" s="1"/>
  <c r="ET182" i="4" s="1"/>
  <c r="ET183" i="4" s="1"/>
  <c r="ET184" i="4" s="1"/>
  <c r="ET185" i="4" s="1"/>
  <c r="ET186" i="4" s="1"/>
  <c r="ET187" i="4" s="1"/>
  <c r="ET188" i="4" s="1"/>
  <c r="ET189" i="4" s="1"/>
  <c r="ET190" i="4" s="1"/>
  <c r="ET191" i="4" s="1"/>
  <c r="ET192" i="4" s="1"/>
  <c r="ET193" i="4" s="1"/>
  <c r="ET194" i="4" s="1"/>
  <c r="ET195" i="4" s="1"/>
  <c r="ET196" i="4" s="1"/>
  <c r="ET197" i="4" s="1"/>
  <c r="ET198" i="4" s="1"/>
  <c r="ET199" i="4" s="1"/>
  <c r="ET200" i="4" s="1"/>
  <c r="ET201" i="4" s="1"/>
  <c r="ET202" i="4" s="1"/>
  <c r="ES3" i="4"/>
  <c r="ES4" i="4" s="1"/>
  <c r="ES5" i="4" s="1"/>
  <c r="ES6" i="4" s="1"/>
  <c r="ES7" i="4" s="1"/>
  <c r="ES8" i="4" s="1"/>
  <c r="ES9" i="4" s="1"/>
  <c r="ES10" i="4" s="1"/>
  <c r="ES11" i="4" s="1"/>
  <c r="ES12" i="4" s="1"/>
  <c r="ES13" i="4" s="1"/>
  <c r="ES14" i="4" s="1"/>
  <c r="ES15" i="4" s="1"/>
  <c r="ES16" i="4" s="1"/>
  <c r="ES17" i="4" s="1"/>
  <c r="ES18" i="4" s="1"/>
  <c r="ES19" i="4" s="1"/>
  <c r="ES20" i="4" s="1"/>
  <c r="ES21" i="4" s="1"/>
  <c r="ES22" i="4" s="1"/>
  <c r="ES23" i="4" s="1"/>
  <c r="ES24" i="4" s="1"/>
  <c r="ES25" i="4" s="1"/>
  <c r="ES26" i="4" s="1"/>
  <c r="ES27" i="4" s="1"/>
  <c r="ES28" i="4" s="1"/>
  <c r="ES29" i="4" s="1"/>
  <c r="ES30" i="4" s="1"/>
  <c r="ES31" i="4" s="1"/>
  <c r="ES32" i="4" s="1"/>
  <c r="ES33" i="4" s="1"/>
  <c r="ES34" i="4" s="1"/>
  <c r="ES35" i="4" s="1"/>
  <c r="ES36" i="4" s="1"/>
  <c r="ES37" i="4" s="1"/>
  <c r="ES38" i="4" s="1"/>
  <c r="ES39" i="4" s="1"/>
  <c r="ES40" i="4" s="1"/>
  <c r="ES41" i="4" s="1"/>
  <c r="ES42" i="4" s="1"/>
  <c r="ES43" i="4" s="1"/>
  <c r="ES44" i="4" s="1"/>
  <c r="ES45" i="4" s="1"/>
  <c r="ES46" i="4" s="1"/>
  <c r="ES47" i="4" s="1"/>
  <c r="ES48" i="4" s="1"/>
  <c r="ES49" i="4" s="1"/>
  <c r="ES50" i="4" s="1"/>
  <c r="ES51" i="4" s="1"/>
  <c r="ES52" i="4" s="1"/>
  <c r="ES53" i="4" s="1"/>
  <c r="ES54" i="4" s="1"/>
  <c r="ES55" i="4" s="1"/>
  <c r="ES56" i="4" s="1"/>
  <c r="ES57" i="4" s="1"/>
  <c r="ES58" i="4" s="1"/>
  <c r="ES59" i="4" s="1"/>
  <c r="ES60" i="4" s="1"/>
  <c r="ES61" i="4" s="1"/>
  <c r="ES62" i="4" s="1"/>
  <c r="ES63" i="4" s="1"/>
  <c r="ES64" i="4" s="1"/>
  <c r="ES65" i="4" s="1"/>
  <c r="ES66" i="4" s="1"/>
  <c r="ES67" i="4" s="1"/>
  <c r="ES68" i="4" s="1"/>
  <c r="ES69" i="4" s="1"/>
  <c r="ES70" i="4" s="1"/>
  <c r="ES71" i="4" s="1"/>
  <c r="ES72" i="4" s="1"/>
  <c r="ES73" i="4" s="1"/>
  <c r="ES74" i="4" s="1"/>
  <c r="ES75" i="4" s="1"/>
  <c r="ES76" i="4" s="1"/>
  <c r="ES77" i="4" s="1"/>
  <c r="ES78" i="4" s="1"/>
  <c r="ES79" i="4" s="1"/>
  <c r="ES80" i="4" s="1"/>
  <c r="ES81" i="4" s="1"/>
  <c r="ES82" i="4" s="1"/>
  <c r="ES83" i="4" s="1"/>
  <c r="ES84" i="4" s="1"/>
  <c r="ES85" i="4" s="1"/>
  <c r="ES86" i="4" s="1"/>
  <c r="ES87" i="4" s="1"/>
  <c r="ES88" i="4" s="1"/>
  <c r="ES89" i="4" s="1"/>
  <c r="ES90" i="4" s="1"/>
  <c r="ES91" i="4" s="1"/>
  <c r="ES92" i="4" s="1"/>
  <c r="ES93" i="4" s="1"/>
  <c r="ES94" i="4" s="1"/>
  <c r="ES95" i="4" s="1"/>
  <c r="ES96" i="4" s="1"/>
  <c r="ES97" i="4" s="1"/>
  <c r="ES98" i="4" s="1"/>
  <c r="ES99" i="4" s="1"/>
  <c r="ES100" i="4" s="1"/>
  <c r="ES101" i="4" s="1"/>
  <c r="ES102" i="4" s="1"/>
  <c r="ES103" i="4" s="1"/>
  <c r="ES104" i="4" s="1"/>
  <c r="ES105" i="4" s="1"/>
  <c r="ES106" i="4" s="1"/>
  <c r="ES107" i="4" s="1"/>
  <c r="ES108" i="4" s="1"/>
  <c r="ES109" i="4" s="1"/>
  <c r="ES110" i="4" s="1"/>
  <c r="ES111" i="4" s="1"/>
  <c r="ES112" i="4" s="1"/>
  <c r="ES113" i="4" s="1"/>
  <c r="ES114" i="4" s="1"/>
  <c r="ES115" i="4" s="1"/>
  <c r="ES116" i="4" s="1"/>
  <c r="ES117" i="4" s="1"/>
  <c r="ES118" i="4" s="1"/>
  <c r="ES119" i="4" s="1"/>
  <c r="ES120" i="4" s="1"/>
  <c r="ES121" i="4" s="1"/>
  <c r="ES122" i="4" s="1"/>
  <c r="ES123" i="4" s="1"/>
  <c r="ES124" i="4" s="1"/>
  <c r="ES125" i="4" s="1"/>
  <c r="ES126" i="4" s="1"/>
  <c r="ES127" i="4" s="1"/>
  <c r="ES128" i="4" s="1"/>
  <c r="ES129" i="4" s="1"/>
  <c r="ES130" i="4" s="1"/>
  <c r="ES131" i="4" s="1"/>
  <c r="ES132" i="4" s="1"/>
  <c r="ES133" i="4" s="1"/>
  <c r="ES134" i="4" s="1"/>
  <c r="ES135" i="4" s="1"/>
  <c r="ES136" i="4" s="1"/>
  <c r="ES137" i="4" s="1"/>
  <c r="ES138" i="4" s="1"/>
  <c r="ES139" i="4" s="1"/>
  <c r="ES140" i="4" s="1"/>
  <c r="ES141" i="4" s="1"/>
  <c r="ES142" i="4" s="1"/>
  <c r="ES143" i="4" s="1"/>
  <c r="ES144" i="4" s="1"/>
  <c r="ES145" i="4" s="1"/>
  <c r="ES146" i="4" s="1"/>
  <c r="ES147" i="4" s="1"/>
  <c r="ES148" i="4" s="1"/>
  <c r="ES149" i="4" s="1"/>
  <c r="ES150" i="4" s="1"/>
  <c r="ES151" i="4" s="1"/>
  <c r="ES152" i="4" s="1"/>
  <c r="ES153" i="4" s="1"/>
  <c r="ES154" i="4" s="1"/>
  <c r="ES155" i="4" s="1"/>
  <c r="ES156" i="4" s="1"/>
  <c r="ES157" i="4" s="1"/>
  <c r="ES158" i="4" s="1"/>
  <c r="ES159" i="4" s="1"/>
  <c r="ES160" i="4" s="1"/>
  <c r="ES161" i="4" s="1"/>
  <c r="ES162" i="4" s="1"/>
  <c r="ES163" i="4" s="1"/>
  <c r="ES164" i="4" s="1"/>
  <c r="ES165" i="4" s="1"/>
  <c r="ES166" i="4" s="1"/>
  <c r="ES167" i="4" s="1"/>
  <c r="ES168" i="4" s="1"/>
  <c r="ES169" i="4" s="1"/>
  <c r="ES170" i="4" s="1"/>
  <c r="ES171" i="4" s="1"/>
  <c r="ES172" i="4" s="1"/>
  <c r="ES173" i="4" s="1"/>
  <c r="ES174" i="4" s="1"/>
  <c r="ES175" i="4" s="1"/>
  <c r="ES176" i="4" s="1"/>
  <c r="ES177" i="4" s="1"/>
  <c r="ES178" i="4" s="1"/>
  <c r="ES179" i="4" s="1"/>
  <c r="ES180" i="4" s="1"/>
  <c r="ES181" i="4" s="1"/>
  <c r="ES182" i="4" s="1"/>
  <c r="ES183" i="4" s="1"/>
  <c r="ES184" i="4" s="1"/>
  <c r="ES185" i="4" s="1"/>
  <c r="ES186" i="4" s="1"/>
  <c r="ES187" i="4" s="1"/>
  <c r="ES188" i="4" s="1"/>
  <c r="ES189" i="4" s="1"/>
  <c r="ES190" i="4" s="1"/>
  <c r="ES191" i="4" s="1"/>
  <c r="ES192" i="4" s="1"/>
  <c r="ES193" i="4" s="1"/>
  <c r="ES194" i="4" s="1"/>
  <c r="ES195" i="4" s="1"/>
  <c r="ES196" i="4" s="1"/>
  <c r="ES197" i="4" s="1"/>
  <c r="ES198" i="4" s="1"/>
  <c r="ES199" i="4" s="1"/>
  <c r="ES200" i="4" s="1"/>
  <c r="ES201" i="4" s="1"/>
  <c r="ES202" i="4" s="1"/>
  <c r="ER3" i="4"/>
  <c r="ER4" i="4" s="1"/>
  <c r="ER5" i="4" s="1"/>
  <c r="ER6" i="4" s="1"/>
  <c r="ER7" i="4" s="1"/>
  <c r="ER8" i="4" s="1"/>
  <c r="ER9" i="4" s="1"/>
  <c r="ER10" i="4" s="1"/>
  <c r="ER11" i="4" s="1"/>
  <c r="ER12" i="4" s="1"/>
  <c r="ER13" i="4" s="1"/>
  <c r="ER14" i="4" s="1"/>
  <c r="ER15" i="4" s="1"/>
  <c r="ER16" i="4" s="1"/>
  <c r="ER17" i="4" s="1"/>
  <c r="ER18" i="4" s="1"/>
  <c r="ER19" i="4" s="1"/>
  <c r="ER20" i="4" s="1"/>
  <c r="ER21" i="4" s="1"/>
  <c r="ER22" i="4" s="1"/>
  <c r="ER23" i="4" s="1"/>
  <c r="ER24" i="4" s="1"/>
  <c r="ER25" i="4" s="1"/>
  <c r="ER26" i="4" s="1"/>
  <c r="ER27" i="4" s="1"/>
  <c r="ER28" i="4" s="1"/>
  <c r="ER29" i="4" s="1"/>
  <c r="ER30" i="4" s="1"/>
  <c r="ER31" i="4" s="1"/>
  <c r="ER32" i="4" s="1"/>
  <c r="ER33" i="4" s="1"/>
  <c r="ER34" i="4" s="1"/>
  <c r="ER35" i="4" s="1"/>
  <c r="ER36" i="4" s="1"/>
  <c r="ER37" i="4" s="1"/>
  <c r="ER38" i="4" s="1"/>
  <c r="ER39" i="4" s="1"/>
  <c r="ER40" i="4" s="1"/>
  <c r="ER41" i="4" s="1"/>
  <c r="ER42" i="4" s="1"/>
  <c r="ER43" i="4" s="1"/>
  <c r="ER44" i="4" s="1"/>
  <c r="ER45" i="4" s="1"/>
  <c r="ER46" i="4" s="1"/>
  <c r="ER47" i="4" s="1"/>
  <c r="ER48" i="4" s="1"/>
  <c r="ER49" i="4" s="1"/>
  <c r="ER50" i="4" s="1"/>
  <c r="ER51" i="4" s="1"/>
  <c r="ER52" i="4" s="1"/>
  <c r="ER53" i="4" s="1"/>
  <c r="ER54" i="4" s="1"/>
  <c r="ER55" i="4" s="1"/>
  <c r="ER56" i="4" s="1"/>
  <c r="ER57" i="4" s="1"/>
  <c r="ER58" i="4" s="1"/>
  <c r="ER59" i="4" s="1"/>
  <c r="ER60" i="4" s="1"/>
  <c r="ER61" i="4" s="1"/>
  <c r="ER62" i="4" s="1"/>
  <c r="ER63" i="4" s="1"/>
  <c r="ER64" i="4" s="1"/>
  <c r="ER65" i="4" s="1"/>
  <c r="ER66" i="4" s="1"/>
  <c r="ER67" i="4" s="1"/>
  <c r="ER68" i="4" s="1"/>
  <c r="ER69" i="4" s="1"/>
  <c r="ER70" i="4" s="1"/>
  <c r="ER71" i="4" s="1"/>
  <c r="ER72" i="4" s="1"/>
  <c r="ER73" i="4" s="1"/>
  <c r="ER74" i="4" s="1"/>
  <c r="ER75" i="4" s="1"/>
  <c r="ER76" i="4" s="1"/>
  <c r="ER77" i="4" s="1"/>
  <c r="ER78" i="4" s="1"/>
  <c r="ER79" i="4" s="1"/>
  <c r="ER80" i="4" s="1"/>
  <c r="ER81" i="4" s="1"/>
  <c r="ER82" i="4" s="1"/>
  <c r="ER83" i="4" s="1"/>
  <c r="ER84" i="4" s="1"/>
  <c r="ER85" i="4" s="1"/>
  <c r="ER86" i="4" s="1"/>
  <c r="ER87" i="4" s="1"/>
  <c r="ER88" i="4" s="1"/>
  <c r="ER89" i="4" s="1"/>
  <c r="ER90" i="4" s="1"/>
  <c r="ER91" i="4" s="1"/>
  <c r="ER92" i="4" s="1"/>
  <c r="ER93" i="4" s="1"/>
  <c r="ER94" i="4" s="1"/>
  <c r="ER95" i="4" s="1"/>
  <c r="ER96" i="4" s="1"/>
  <c r="ER97" i="4" s="1"/>
  <c r="ER98" i="4" s="1"/>
  <c r="ER99" i="4" s="1"/>
  <c r="ER100" i="4" s="1"/>
  <c r="ER101" i="4" s="1"/>
  <c r="ER102" i="4" s="1"/>
  <c r="ER103" i="4" s="1"/>
  <c r="ER104" i="4" s="1"/>
  <c r="ER105" i="4" s="1"/>
  <c r="ER106" i="4" s="1"/>
  <c r="ER107" i="4" s="1"/>
  <c r="ER108" i="4" s="1"/>
  <c r="ER109" i="4" s="1"/>
  <c r="ER110" i="4" s="1"/>
  <c r="ER111" i="4" s="1"/>
  <c r="ER112" i="4" s="1"/>
  <c r="ER113" i="4" s="1"/>
  <c r="ER114" i="4" s="1"/>
  <c r="ER115" i="4" s="1"/>
  <c r="ER116" i="4" s="1"/>
  <c r="ER117" i="4" s="1"/>
  <c r="ER118" i="4" s="1"/>
  <c r="ER119" i="4" s="1"/>
  <c r="ER120" i="4" s="1"/>
  <c r="ER121" i="4" s="1"/>
  <c r="ER122" i="4" s="1"/>
  <c r="ER123" i="4" s="1"/>
  <c r="ER124" i="4" s="1"/>
  <c r="ER125" i="4" s="1"/>
  <c r="ER126" i="4" s="1"/>
  <c r="ER127" i="4" s="1"/>
  <c r="ER128" i="4" s="1"/>
  <c r="ER129" i="4" s="1"/>
  <c r="ER130" i="4" s="1"/>
  <c r="ER131" i="4" s="1"/>
  <c r="ER132" i="4" s="1"/>
  <c r="ER133" i="4" s="1"/>
  <c r="ER134" i="4" s="1"/>
  <c r="ER135" i="4" s="1"/>
  <c r="ER136" i="4" s="1"/>
  <c r="ER137" i="4" s="1"/>
  <c r="ER138" i="4" s="1"/>
  <c r="ER139" i="4" s="1"/>
  <c r="ER140" i="4" s="1"/>
  <c r="ER141" i="4" s="1"/>
  <c r="ER142" i="4" s="1"/>
  <c r="ER143" i="4" s="1"/>
  <c r="ER144" i="4" s="1"/>
  <c r="ER145" i="4" s="1"/>
  <c r="ER146" i="4" s="1"/>
  <c r="ER147" i="4" s="1"/>
  <c r="ER148" i="4" s="1"/>
  <c r="ER149" i="4" s="1"/>
  <c r="ER150" i="4" s="1"/>
  <c r="ER151" i="4" s="1"/>
  <c r="ER152" i="4" s="1"/>
  <c r="ER153" i="4" s="1"/>
  <c r="ER154" i="4" s="1"/>
  <c r="ER155" i="4" s="1"/>
  <c r="ER156" i="4" s="1"/>
  <c r="ER157" i="4" s="1"/>
  <c r="ER158" i="4" s="1"/>
  <c r="ER159" i="4" s="1"/>
  <c r="ER160" i="4" s="1"/>
  <c r="ER161" i="4" s="1"/>
  <c r="ER162" i="4" s="1"/>
  <c r="ER163" i="4" s="1"/>
  <c r="ER164" i="4" s="1"/>
  <c r="ER165" i="4" s="1"/>
  <c r="ER166" i="4" s="1"/>
  <c r="ER167" i="4" s="1"/>
  <c r="ER168" i="4" s="1"/>
  <c r="ER169" i="4" s="1"/>
  <c r="ER170" i="4" s="1"/>
  <c r="ER171" i="4" s="1"/>
  <c r="ER172" i="4" s="1"/>
  <c r="ER173" i="4" s="1"/>
  <c r="ER174" i="4" s="1"/>
  <c r="ER175" i="4" s="1"/>
  <c r="ER176" i="4" s="1"/>
  <c r="ER177" i="4" s="1"/>
  <c r="ER178" i="4" s="1"/>
  <c r="ER179" i="4" s="1"/>
  <c r="ER180" i="4" s="1"/>
  <c r="ER181" i="4" s="1"/>
  <c r="ER182" i="4" s="1"/>
  <c r="ER183" i="4" s="1"/>
  <c r="ER184" i="4" s="1"/>
  <c r="ER185" i="4" s="1"/>
  <c r="ER186" i="4" s="1"/>
  <c r="ER187" i="4" s="1"/>
  <c r="ER188" i="4" s="1"/>
  <c r="ER189" i="4" s="1"/>
  <c r="ER190" i="4" s="1"/>
  <c r="ER191" i="4" s="1"/>
  <c r="ER192" i="4" s="1"/>
  <c r="ER193" i="4" s="1"/>
  <c r="ER194" i="4" s="1"/>
  <c r="ER195" i="4" s="1"/>
  <c r="ER196" i="4" s="1"/>
  <c r="ER197" i="4" s="1"/>
  <c r="ER198" i="4" s="1"/>
  <c r="ER199" i="4" s="1"/>
  <c r="ER200" i="4" s="1"/>
  <c r="ER201" i="4" s="1"/>
  <c r="ER202" i="4" s="1"/>
  <c r="EQ3" i="4"/>
  <c r="EQ4" i="4" s="1"/>
  <c r="EQ5" i="4" s="1"/>
  <c r="EQ6" i="4" s="1"/>
  <c r="EQ7" i="4" s="1"/>
  <c r="EQ8" i="4" s="1"/>
  <c r="EQ9" i="4" s="1"/>
  <c r="EQ10" i="4" s="1"/>
  <c r="EQ11" i="4" s="1"/>
  <c r="EQ12" i="4" s="1"/>
  <c r="EQ13" i="4" s="1"/>
  <c r="EQ14" i="4" s="1"/>
  <c r="EQ15" i="4" s="1"/>
  <c r="EQ16" i="4" s="1"/>
  <c r="EQ17" i="4" s="1"/>
  <c r="EQ18" i="4" s="1"/>
  <c r="EQ19" i="4" s="1"/>
  <c r="EQ20" i="4" s="1"/>
  <c r="EQ21" i="4" s="1"/>
  <c r="EQ22" i="4" s="1"/>
  <c r="EQ23" i="4" s="1"/>
  <c r="EQ24" i="4" s="1"/>
  <c r="EQ25" i="4" s="1"/>
  <c r="EQ26" i="4" s="1"/>
  <c r="EQ27" i="4" s="1"/>
  <c r="EQ28" i="4" s="1"/>
  <c r="EQ29" i="4" s="1"/>
  <c r="EQ30" i="4" s="1"/>
  <c r="EQ31" i="4" s="1"/>
  <c r="EQ32" i="4" s="1"/>
  <c r="EQ33" i="4" s="1"/>
  <c r="EQ34" i="4" s="1"/>
  <c r="EQ35" i="4" s="1"/>
  <c r="EQ36" i="4" s="1"/>
  <c r="EQ37" i="4" s="1"/>
  <c r="EQ38" i="4" s="1"/>
  <c r="EQ39" i="4" s="1"/>
  <c r="EQ40" i="4" s="1"/>
  <c r="EQ41" i="4" s="1"/>
  <c r="EQ42" i="4" s="1"/>
  <c r="EQ43" i="4" s="1"/>
  <c r="EQ44" i="4" s="1"/>
  <c r="EQ45" i="4" s="1"/>
  <c r="EQ46" i="4" s="1"/>
  <c r="EQ47" i="4" s="1"/>
  <c r="EQ48" i="4" s="1"/>
  <c r="EQ49" i="4" s="1"/>
  <c r="EQ50" i="4" s="1"/>
  <c r="EQ51" i="4" s="1"/>
  <c r="EQ52" i="4" s="1"/>
  <c r="EQ53" i="4" s="1"/>
  <c r="EQ54" i="4" s="1"/>
  <c r="EQ55" i="4" s="1"/>
  <c r="EQ56" i="4" s="1"/>
  <c r="EQ57" i="4" s="1"/>
  <c r="EQ58" i="4" s="1"/>
  <c r="EQ59" i="4" s="1"/>
  <c r="EQ60" i="4" s="1"/>
  <c r="EQ61" i="4" s="1"/>
  <c r="EQ62" i="4" s="1"/>
  <c r="EQ63" i="4" s="1"/>
  <c r="EQ64" i="4" s="1"/>
  <c r="EQ65" i="4" s="1"/>
  <c r="EQ66" i="4" s="1"/>
  <c r="EQ67" i="4" s="1"/>
  <c r="EQ68" i="4" s="1"/>
  <c r="EQ69" i="4" s="1"/>
  <c r="EQ70" i="4" s="1"/>
  <c r="EQ71" i="4" s="1"/>
  <c r="EQ72" i="4" s="1"/>
  <c r="EQ73" i="4" s="1"/>
  <c r="EQ74" i="4" s="1"/>
  <c r="EQ75" i="4" s="1"/>
  <c r="EQ76" i="4" s="1"/>
  <c r="EQ77" i="4" s="1"/>
  <c r="EQ78" i="4" s="1"/>
  <c r="EQ79" i="4" s="1"/>
  <c r="EQ80" i="4" s="1"/>
  <c r="EQ81" i="4" s="1"/>
  <c r="EQ82" i="4" s="1"/>
  <c r="EQ83" i="4" s="1"/>
  <c r="EQ84" i="4" s="1"/>
  <c r="EQ85" i="4" s="1"/>
  <c r="EQ86" i="4" s="1"/>
  <c r="EQ87" i="4" s="1"/>
  <c r="EQ88" i="4" s="1"/>
  <c r="EQ89" i="4" s="1"/>
  <c r="EQ90" i="4" s="1"/>
  <c r="EQ91" i="4" s="1"/>
  <c r="EQ92" i="4" s="1"/>
  <c r="EQ93" i="4" s="1"/>
  <c r="EQ94" i="4" s="1"/>
  <c r="EQ95" i="4" s="1"/>
  <c r="EQ96" i="4" s="1"/>
  <c r="EQ97" i="4" s="1"/>
  <c r="EQ98" i="4" s="1"/>
  <c r="EQ99" i="4" s="1"/>
  <c r="EQ100" i="4" s="1"/>
  <c r="EQ101" i="4" s="1"/>
  <c r="EQ102" i="4" s="1"/>
  <c r="EQ103" i="4" s="1"/>
  <c r="EQ104" i="4" s="1"/>
  <c r="EQ105" i="4" s="1"/>
  <c r="EQ106" i="4" s="1"/>
  <c r="EQ107" i="4" s="1"/>
  <c r="EQ108" i="4" s="1"/>
  <c r="EQ109" i="4" s="1"/>
  <c r="EQ110" i="4" s="1"/>
  <c r="EQ111" i="4" s="1"/>
  <c r="EQ112" i="4" s="1"/>
  <c r="EQ113" i="4" s="1"/>
  <c r="EQ114" i="4" s="1"/>
  <c r="EQ115" i="4" s="1"/>
  <c r="EQ116" i="4" s="1"/>
  <c r="EQ117" i="4" s="1"/>
  <c r="EQ118" i="4" s="1"/>
  <c r="EQ119" i="4" s="1"/>
  <c r="EQ120" i="4" s="1"/>
  <c r="EQ121" i="4" s="1"/>
  <c r="EQ122" i="4" s="1"/>
  <c r="EQ123" i="4" s="1"/>
  <c r="EQ124" i="4" s="1"/>
  <c r="EQ125" i="4" s="1"/>
  <c r="EQ126" i="4" s="1"/>
  <c r="EQ127" i="4" s="1"/>
  <c r="EQ128" i="4" s="1"/>
  <c r="EQ129" i="4" s="1"/>
  <c r="EQ130" i="4" s="1"/>
  <c r="EQ131" i="4" s="1"/>
  <c r="EQ132" i="4" s="1"/>
  <c r="EQ133" i="4" s="1"/>
  <c r="EQ134" i="4" s="1"/>
  <c r="EQ135" i="4" s="1"/>
  <c r="EQ136" i="4" s="1"/>
  <c r="EQ137" i="4" s="1"/>
  <c r="EQ138" i="4" s="1"/>
  <c r="EQ139" i="4" s="1"/>
  <c r="EQ140" i="4" s="1"/>
  <c r="EQ141" i="4" s="1"/>
  <c r="EQ142" i="4" s="1"/>
  <c r="EQ143" i="4" s="1"/>
  <c r="EQ144" i="4" s="1"/>
  <c r="EQ145" i="4" s="1"/>
  <c r="EQ146" i="4" s="1"/>
  <c r="EQ147" i="4" s="1"/>
  <c r="EQ148" i="4" s="1"/>
  <c r="EQ149" i="4" s="1"/>
  <c r="EQ150" i="4" s="1"/>
  <c r="EQ151" i="4" s="1"/>
  <c r="EQ152" i="4" s="1"/>
  <c r="EQ153" i="4" s="1"/>
  <c r="EQ154" i="4" s="1"/>
  <c r="EQ155" i="4" s="1"/>
  <c r="EQ156" i="4" s="1"/>
  <c r="EQ157" i="4" s="1"/>
  <c r="EQ158" i="4" s="1"/>
  <c r="EQ159" i="4" s="1"/>
  <c r="EQ160" i="4" s="1"/>
  <c r="EQ161" i="4" s="1"/>
  <c r="EQ162" i="4" s="1"/>
  <c r="EQ163" i="4" s="1"/>
  <c r="EQ164" i="4" s="1"/>
  <c r="EQ165" i="4" s="1"/>
  <c r="EQ166" i="4" s="1"/>
  <c r="EQ167" i="4" s="1"/>
  <c r="EQ168" i="4" s="1"/>
  <c r="EQ169" i="4" s="1"/>
  <c r="EQ170" i="4" s="1"/>
  <c r="EQ171" i="4" s="1"/>
  <c r="EQ172" i="4" s="1"/>
  <c r="EQ173" i="4" s="1"/>
  <c r="EQ174" i="4" s="1"/>
  <c r="EQ175" i="4" s="1"/>
  <c r="EQ176" i="4" s="1"/>
  <c r="EQ177" i="4" s="1"/>
  <c r="EQ178" i="4" s="1"/>
  <c r="EQ179" i="4" s="1"/>
  <c r="EQ180" i="4" s="1"/>
  <c r="EQ181" i="4" s="1"/>
  <c r="EQ182" i="4" s="1"/>
  <c r="EQ183" i="4" s="1"/>
  <c r="EQ184" i="4" s="1"/>
  <c r="EQ185" i="4" s="1"/>
  <c r="EQ186" i="4" s="1"/>
  <c r="EQ187" i="4" s="1"/>
  <c r="EQ188" i="4" s="1"/>
  <c r="EQ189" i="4" s="1"/>
  <c r="EQ190" i="4" s="1"/>
  <c r="EQ191" i="4" s="1"/>
  <c r="EQ192" i="4" s="1"/>
  <c r="EQ193" i="4" s="1"/>
  <c r="EQ194" i="4" s="1"/>
  <c r="EQ195" i="4" s="1"/>
  <c r="EQ196" i="4" s="1"/>
  <c r="EQ197" i="4" s="1"/>
  <c r="EQ198" i="4" s="1"/>
  <c r="EQ199" i="4" s="1"/>
  <c r="EQ200" i="4" s="1"/>
  <c r="EQ201" i="4" s="1"/>
  <c r="EQ202" i="4" s="1"/>
  <c r="EP3" i="4"/>
  <c r="EP4" i="4" s="1"/>
  <c r="EP5" i="4" s="1"/>
  <c r="EP6" i="4" s="1"/>
  <c r="EP7" i="4" s="1"/>
  <c r="EP8" i="4" s="1"/>
  <c r="EP9" i="4" s="1"/>
  <c r="EP10" i="4" s="1"/>
  <c r="EP11" i="4" s="1"/>
  <c r="EP12" i="4" s="1"/>
  <c r="EP13" i="4" s="1"/>
  <c r="EP14" i="4" s="1"/>
  <c r="EP15" i="4" s="1"/>
  <c r="EP16" i="4" s="1"/>
  <c r="EP17" i="4" s="1"/>
  <c r="EP18" i="4" s="1"/>
  <c r="EP19" i="4" s="1"/>
  <c r="EP20" i="4" s="1"/>
  <c r="EP21" i="4" s="1"/>
  <c r="EP22" i="4" s="1"/>
  <c r="EP23" i="4" s="1"/>
  <c r="EP24" i="4" s="1"/>
  <c r="EP25" i="4" s="1"/>
  <c r="EP26" i="4" s="1"/>
  <c r="EP27" i="4" s="1"/>
  <c r="EP28" i="4" s="1"/>
  <c r="EP29" i="4" s="1"/>
  <c r="EP30" i="4" s="1"/>
  <c r="EP31" i="4" s="1"/>
  <c r="EP32" i="4" s="1"/>
  <c r="EP33" i="4" s="1"/>
  <c r="EP34" i="4" s="1"/>
  <c r="EP35" i="4" s="1"/>
  <c r="EP36" i="4" s="1"/>
  <c r="EP37" i="4" s="1"/>
  <c r="EP38" i="4" s="1"/>
  <c r="EP39" i="4" s="1"/>
  <c r="EP40" i="4" s="1"/>
  <c r="EP41" i="4" s="1"/>
  <c r="EP42" i="4" s="1"/>
  <c r="EP43" i="4" s="1"/>
  <c r="EP44" i="4" s="1"/>
  <c r="EP45" i="4" s="1"/>
  <c r="EP46" i="4" s="1"/>
  <c r="EP47" i="4" s="1"/>
  <c r="EP48" i="4" s="1"/>
  <c r="EP49" i="4" s="1"/>
  <c r="EP50" i="4" s="1"/>
  <c r="EP51" i="4" s="1"/>
  <c r="EP52" i="4" s="1"/>
  <c r="EP53" i="4" s="1"/>
  <c r="EP54" i="4" s="1"/>
  <c r="EP55" i="4" s="1"/>
  <c r="EP56" i="4" s="1"/>
  <c r="EP57" i="4" s="1"/>
  <c r="EP58" i="4" s="1"/>
  <c r="EP59" i="4" s="1"/>
  <c r="EP60" i="4" s="1"/>
  <c r="EP61" i="4" s="1"/>
  <c r="EP62" i="4" s="1"/>
  <c r="EP63" i="4" s="1"/>
  <c r="EP64" i="4" s="1"/>
  <c r="EP65" i="4" s="1"/>
  <c r="EP66" i="4" s="1"/>
  <c r="EP67" i="4" s="1"/>
  <c r="EP68" i="4" s="1"/>
  <c r="EP69" i="4" s="1"/>
  <c r="EP70" i="4" s="1"/>
  <c r="EP71" i="4" s="1"/>
  <c r="EP72" i="4" s="1"/>
  <c r="EP73" i="4" s="1"/>
  <c r="EP74" i="4" s="1"/>
  <c r="EP75" i="4" s="1"/>
  <c r="EP76" i="4" s="1"/>
  <c r="EP77" i="4" s="1"/>
  <c r="EP78" i="4" s="1"/>
  <c r="EP79" i="4" s="1"/>
  <c r="EP80" i="4" s="1"/>
  <c r="EP81" i="4" s="1"/>
  <c r="EP82" i="4" s="1"/>
  <c r="EP83" i="4" s="1"/>
  <c r="EP84" i="4" s="1"/>
  <c r="EP85" i="4" s="1"/>
  <c r="EP86" i="4" s="1"/>
  <c r="EP87" i="4" s="1"/>
  <c r="EP88" i="4" s="1"/>
  <c r="EP89" i="4" s="1"/>
  <c r="EP90" i="4" s="1"/>
  <c r="EP91" i="4" s="1"/>
  <c r="EP92" i="4" s="1"/>
  <c r="EP93" i="4" s="1"/>
  <c r="EP94" i="4" s="1"/>
  <c r="EP95" i="4" s="1"/>
  <c r="EP96" i="4" s="1"/>
  <c r="EP97" i="4" s="1"/>
  <c r="EP98" i="4" s="1"/>
  <c r="EP99" i="4" s="1"/>
  <c r="EP100" i="4" s="1"/>
  <c r="EP101" i="4" s="1"/>
  <c r="EP102" i="4" s="1"/>
  <c r="EP103" i="4" s="1"/>
  <c r="EP104" i="4" s="1"/>
  <c r="EP105" i="4" s="1"/>
  <c r="EP106" i="4" s="1"/>
  <c r="EP107" i="4" s="1"/>
  <c r="EP108" i="4" s="1"/>
  <c r="EP109" i="4" s="1"/>
  <c r="EP110" i="4" s="1"/>
  <c r="EP111" i="4" s="1"/>
  <c r="EP112" i="4" s="1"/>
  <c r="EP113" i="4" s="1"/>
  <c r="EP114" i="4" s="1"/>
  <c r="EP115" i="4" s="1"/>
  <c r="EP116" i="4" s="1"/>
  <c r="EP117" i="4" s="1"/>
  <c r="EP118" i="4" s="1"/>
  <c r="EP119" i="4" s="1"/>
  <c r="EP120" i="4" s="1"/>
  <c r="EP121" i="4" s="1"/>
  <c r="EP122" i="4" s="1"/>
  <c r="EP123" i="4" s="1"/>
  <c r="EP124" i="4" s="1"/>
  <c r="EP125" i="4" s="1"/>
  <c r="EP126" i="4" s="1"/>
  <c r="EP127" i="4" s="1"/>
  <c r="EP128" i="4" s="1"/>
  <c r="EP129" i="4" s="1"/>
  <c r="EP130" i="4" s="1"/>
  <c r="EP131" i="4" s="1"/>
  <c r="EP132" i="4" s="1"/>
  <c r="EP133" i="4" s="1"/>
  <c r="EP134" i="4" s="1"/>
  <c r="EP135" i="4" s="1"/>
  <c r="EP136" i="4" s="1"/>
  <c r="EP137" i="4" s="1"/>
  <c r="EP138" i="4" s="1"/>
  <c r="EP139" i="4" s="1"/>
  <c r="EP140" i="4" s="1"/>
  <c r="EP141" i="4" s="1"/>
  <c r="EP142" i="4" s="1"/>
  <c r="EP143" i="4" s="1"/>
  <c r="EP144" i="4" s="1"/>
  <c r="EP145" i="4" s="1"/>
  <c r="EP146" i="4" s="1"/>
  <c r="EP147" i="4" s="1"/>
  <c r="EP148" i="4" s="1"/>
  <c r="EP149" i="4" s="1"/>
  <c r="EP150" i="4" s="1"/>
  <c r="EP151" i="4" s="1"/>
  <c r="EP152" i="4" s="1"/>
  <c r="EP153" i="4" s="1"/>
  <c r="EP154" i="4" s="1"/>
  <c r="EP155" i="4" s="1"/>
  <c r="EP156" i="4" s="1"/>
  <c r="EP157" i="4" s="1"/>
  <c r="EP158" i="4" s="1"/>
  <c r="EP159" i="4" s="1"/>
  <c r="EP160" i="4" s="1"/>
  <c r="EP161" i="4" s="1"/>
  <c r="EP162" i="4" s="1"/>
  <c r="EP163" i="4" s="1"/>
  <c r="EP164" i="4" s="1"/>
  <c r="EP165" i="4" s="1"/>
  <c r="EP166" i="4" s="1"/>
  <c r="EP167" i="4" s="1"/>
  <c r="EP168" i="4" s="1"/>
  <c r="EP169" i="4" s="1"/>
  <c r="EP170" i="4" s="1"/>
  <c r="EP171" i="4" s="1"/>
  <c r="EP172" i="4" s="1"/>
  <c r="EP173" i="4" s="1"/>
  <c r="EP174" i="4" s="1"/>
  <c r="EP175" i="4" s="1"/>
  <c r="EP176" i="4" s="1"/>
  <c r="EP177" i="4" s="1"/>
  <c r="EP178" i="4" s="1"/>
  <c r="EP179" i="4" s="1"/>
  <c r="EP180" i="4" s="1"/>
  <c r="EP181" i="4" s="1"/>
  <c r="EP182" i="4" s="1"/>
  <c r="EP183" i="4" s="1"/>
  <c r="EP184" i="4" s="1"/>
  <c r="EP185" i="4" s="1"/>
  <c r="EP186" i="4" s="1"/>
  <c r="EP187" i="4" s="1"/>
  <c r="EP188" i="4" s="1"/>
  <c r="EP189" i="4" s="1"/>
  <c r="EP190" i="4" s="1"/>
  <c r="EP191" i="4" s="1"/>
  <c r="EP192" i="4" s="1"/>
  <c r="EP193" i="4" s="1"/>
  <c r="EP194" i="4" s="1"/>
  <c r="EP195" i="4" s="1"/>
  <c r="EP196" i="4" s="1"/>
  <c r="EP197" i="4" s="1"/>
  <c r="EP198" i="4" s="1"/>
  <c r="EP199" i="4" s="1"/>
  <c r="EP200" i="4" s="1"/>
  <c r="EP201" i="4" s="1"/>
  <c r="EP202" i="4" s="1"/>
  <c r="EO3" i="4"/>
  <c r="EO4" i="4" s="1"/>
  <c r="EO5" i="4" s="1"/>
  <c r="EO6" i="4" s="1"/>
  <c r="EO7" i="4" s="1"/>
  <c r="EO8" i="4" s="1"/>
  <c r="EO9" i="4" s="1"/>
  <c r="EO10" i="4" s="1"/>
  <c r="EO11" i="4" s="1"/>
  <c r="EO12" i="4" s="1"/>
  <c r="EO13" i="4" s="1"/>
  <c r="EO14" i="4" s="1"/>
  <c r="EO15" i="4" s="1"/>
  <c r="EO16" i="4" s="1"/>
  <c r="EO17" i="4" s="1"/>
  <c r="EO18" i="4" s="1"/>
  <c r="EO19" i="4" s="1"/>
  <c r="EO20" i="4" s="1"/>
  <c r="EO21" i="4" s="1"/>
  <c r="EO22" i="4" s="1"/>
  <c r="EO23" i="4" s="1"/>
  <c r="EO24" i="4" s="1"/>
  <c r="EO25" i="4" s="1"/>
  <c r="EO26" i="4" s="1"/>
  <c r="EO27" i="4" s="1"/>
  <c r="EO28" i="4" s="1"/>
  <c r="EO29" i="4" s="1"/>
  <c r="EO30" i="4" s="1"/>
  <c r="EO31" i="4" s="1"/>
  <c r="EO32" i="4" s="1"/>
  <c r="EO33" i="4" s="1"/>
  <c r="EO34" i="4" s="1"/>
  <c r="EO35" i="4" s="1"/>
  <c r="EO36" i="4" s="1"/>
  <c r="EO37" i="4" s="1"/>
  <c r="EO38" i="4" s="1"/>
  <c r="EO39" i="4" s="1"/>
  <c r="EO40" i="4" s="1"/>
  <c r="EO41" i="4" s="1"/>
  <c r="EO42" i="4" s="1"/>
  <c r="EO43" i="4" s="1"/>
  <c r="EO44" i="4" s="1"/>
  <c r="EO45" i="4" s="1"/>
  <c r="EO46" i="4" s="1"/>
  <c r="EO47" i="4" s="1"/>
  <c r="EO48" i="4" s="1"/>
  <c r="EO49" i="4" s="1"/>
  <c r="EO50" i="4" s="1"/>
  <c r="EO51" i="4" s="1"/>
  <c r="EO52" i="4" s="1"/>
  <c r="EO53" i="4" s="1"/>
  <c r="EO54" i="4" s="1"/>
  <c r="EO55" i="4" s="1"/>
  <c r="EO56" i="4" s="1"/>
  <c r="EO57" i="4" s="1"/>
  <c r="EO58" i="4" s="1"/>
  <c r="EO59" i="4" s="1"/>
  <c r="EO60" i="4" s="1"/>
  <c r="EO61" i="4" s="1"/>
  <c r="EO62" i="4" s="1"/>
  <c r="EO63" i="4" s="1"/>
  <c r="EO64" i="4" s="1"/>
  <c r="EO65" i="4" s="1"/>
  <c r="EO66" i="4" s="1"/>
  <c r="EO67" i="4" s="1"/>
  <c r="EO68" i="4" s="1"/>
  <c r="EO69" i="4" s="1"/>
  <c r="EO70" i="4" s="1"/>
  <c r="EO71" i="4" s="1"/>
  <c r="EO72" i="4" s="1"/>
  <c r="EO73" i="4" s="1"/>
  <c r="EO74" i="4" s="1"/>
  <c r="EO75" i="4" s="1"/>
  <c r="EO76" i="4" s="1"/>
  <c r="EO77" i="4" s="1"/>
  <c r="EO78" i="4" s="1"/>
  <c r="EO79" i="4" s="1"/>
  <c r="EO80" i="4" s="1"/>
  <c r="EO81" i="4" s="1"/>
  <c r="EO82" i="4" s="1"/>
  <c r="EO83" i="4" s="1"/>
  <c r="EO84" i="4" s="1"/>
  <c r="EO85" i="4" s="1"/>
  <c r="EO86" i="4" s="1"/>
  <c r="EO87" i="4" s="1"/>
  <c r="EO88" i="4" s="1"/>
  <c r="EO89" i="4" s="1"/>
  <c r="EO90" i="4" s="1"/>
  <c r="EO91" i="4" s="1"/>
  <c r="EO92" i="4" s="1"/>
  <c r="EO93" i="4" s="1"/>
  <c r="EO94" i="4" s="1"/>
  <c r="EO95" i="4" s="1"/>
  <c r="EO96" i="4" s="1"/>
  <c r="EO97" i="4" s="1"/>
  <c r="EO98" i="4" s="1"/>
  <c r="EO99" i="4" s="1"/>
  <c r="EO100" i="4" s="1"/>
  <c r="EO101" i="4" s="1"/>
  <c r="EO102" i="4" s="1"/>
  <c r="EO103" i="4" s="1"/>
  <c r="EO104" i="4" s="1"/>
  <c r="EO105" i="4" s="1"/>
  <c r="EO106" i="4" s="1"/>
  <c r="EO107" i="4" s="1"/>
  <c r="EO108" i="4" s="1"/>
  <c r="EO109" i="4" s="1"/>
  <c r="EO110" i="4" s="1"/>
  <c r="EO111" i="4" s="1"/>
  <c r="EO112" i="4" s="1"/>
  <c r="EO113" i="4" s="1"/>
  <c r="EO114" i="4" s="1"/>
  <c r="EO115" i="4" s="1"/>
  <c r="EO116" i="4" s="1"/>
  <c r="EO117" i="4" s="1"/>
  <c r="EO118" i="4" s="1"/>
  <c r="EO119" i="4" s="1"/>
  <c r="EO120" i="4" s="1"/>
  <c r="EO121" i="4" s="1"/>
  <c r="EO122" i="4" s="1"/>
  <c r="EO123" i="4" s="1"/>
  <c r="EO124" i="4" s="1"/>
  <c r="EO125" i="4" s="1"/>
  <c r="EO126" i="4" s="1"/>
  <c r="EO127" i="4" s="1"/>
  <c r="EO128" i="4" s="1"/>
  <c r="EO129" i="4" s="1"/>
  <c r="EO130" i="4" s="1"/>
  <c r="EO131" i="4" s="1"/>
  <c r="EO132" i="4" s="1"/>
  <c r="EO133" i="4" s="1"/>
  <c r="EO134" i="4" s="1"/>
  <c r="EO135" i="4" s="1"/>
  <c r="EO136" i="4" s="1"/>
  <c r="EO137" i="4" s="1"/>
  <c r="EO138" i="4" s="1"/>
  <c r="EO139" i="4" s="1"/>
  <c r="EO140" i="4" s="1"/>
  <c r="EO141" i="4" s="1"/>
  <c r="EO142" i="4" s="1"/>
  <c r="EO143" i="4" s="1"/>
  <c r="EO144" i="4" s="1"/>
  <c r="EO145" i="4" s="1"/>
  <c r="EO146" i="4" s="1"/>
  <c r="EO147" i="4" s="1"/>
  <c r="EO148" i="4" s="1"/>
  <c r="EO149" i="4" s="1"/>
  <c r="EO150" i="4" s="1"/>
  <c r="EO151" i="4" s="1"/>
  <c r="EO152" i="4" s="1"/>
  <c r="EO153" i="4" s="1"/>
  <c r="EO154" i="4" s="1"/>
  <c r="EO155" i="4" s="1"/>
  <c r="EO156" i="4" s="1"/>
  <c r="EO157" i="4" s="1"/>
  <c r="EO158" i="4" s="1"/>
  <c r="EO159" i="4" s="1"/>
  <c r="EO160" i="4" s="1"/>
  <c r="EO161" i="4" s="1"/>
  <c r="EO162" i="4" s="1"/>
  <c r="EO163" i="4" s="1"/>
  <c r="EO164" i="4" s="1"/>
  <c r="EO165" i="4" s="1"/>
  <c r="EO166" i="4" s="1"/>
  <c r="EO167" i="4" s="1"/>
  <c r="EO168" i="4" s="1"/>
  <c r="EO169" i="4" s="1"/>
  <c r="EO170" i="4" s="1"/>
  <c r="EO171" i="4" s="1"/>
  <c r="EO172" i="4" s="1"/>
  <c r="EO173" i="4" s="1"/>
  <c r="EO174" i="4" s="1"/>
  <c r="EO175" i="4" s="1"/>
  <c r="EO176" i="4" s="1"/>
  <c r="EO177" i="4" s="1"/>
  <c r="EO178" i="4" s="1"/>
  <c r="EO179" i="4" s="1"/>
  <c r="EO180" i="4" s="1"/>
  <c r="EO181" i="4" s="1"/>
  <c r="EO182" i="4" s="1"/>
  <c r="EO183" i="4" s="1"/>
  <c r="EO184" i="4" s="1"/>
  <c r="EO185" i="4" s="1"/>
  <c r="EO186" i="4" s="1"/>
  <c r="EO187" i="4" s="1"/>
  <c r="EO188" i="4" s="1"/>
  <c r="EO189" i="4" s="1"/>
  <c r="EO190" i="4" s="1"/>
  <c r="EO191" i="4" s="1"/>
  <c r="EO192" i="4" s="1"/>
  <c r="EO193" i="4" s="1"/>
  <c r="EO194" i="4" s="1"/>
  <c r="EO195" i="4" s="1"/>
  <c r="EO196" i="4" s="1"/>
  <c r="EO197" i="4" s="1"/>
  <c r="EO198" i="4" s="1"/>
  <c r="EO199" i="4" s="1"/>
  <c r="EO200" i="4" s="1"/>
  <c r="EO201" i="4" s="1"/>
  <c r="EO202" i="4" s="1"/>
  <c r="EN3" i="4"/>
  <c r="EN4" i="4" s="1"/>
  <c r="EN5" i="4" s="1"/>
  <c r="EN6" i="4" s="1"/>
  <c r="EN7" i="4" s="1"/>
  <c r="EN8" i="4" s="1"/>
  <c r="EN9" i="4" s="1"/>
  <c r="EN10" i="4" s="1"/>
  <c r="EN11" i="4" s="1"/>
  <c r="EN12" i="4" s="1"/>
  <c r="EN13" i="4" s="1"/>
  <c r="EN14" i="4" s="1"/>
  <c r="EN15" i="4" s="1"/>
  <c r="EN16" i="4" s="1"/>
  <c r="EN17" i="4" s="1"/>
  <c r="EN18" i="4" s="1"/>
  <c r="EN19" i="4" s="1"/>
  <c r="EN20" i="4" s="1"/>
  <c r="EN21" i="4" s="1"/>
  <c r="EN22" i="4" s="1"/>
  <c r="EN23" i="4" s="1"/>
  <c r="EN24" i="4" s="1"/>
  <c r="EN25" i="4" s="1"/>
  <c r="EN26" i="4" s="1"/>
  <c r="EN27" i="4" s="1"/>
  <c r="EN28" i="4" s="1"/>
  <c r="EN29" i="4" s="1"/>
  <c r="EN30" i="4" s="1"/>
  <c r="EN31" i="4" s="1"/>
  <c r="EN32" i="4" s="1"/>
  <c r="EN33" i="4" s="1"/>
  <c r="EN34" i="4" s="1"/>
  <c r="EN35" i="4" s="1"/>
  <c r="EN36" i="4" s="1"/>
  <c r="EN37" i="4" s="1"/>
  <c r="EN38" i="4" s="1"/>
  <c r="EN39" i="4" s="1"/>
  <c r="EN40" i="4" s="1"/>
  <c r="EN41" i="4" s="1"/>
  <c r="EN42" i="4" s="1"/>
  <c r="EN43" i="4" s="1"/>
  <c r="EN44" i="4" s="1"/>
  <c r="EN45" i="4" s="1"/>
  <c r="EN46" i="4" s="1"/>
  <c r="EN47" i="4" s="1"/>
  <c r="EN48" i="4" s="1"/>
  <c r="EN49" i="4" s="1"/>
  <c r="EN50" i="4" s="1"/>
  <c r="EN51" i="4" s="1"/>
  <c r="EN52" i="4" s="1"/>
  <c r="EN53" i="4" s="1"/>
  <c r="EN54" i="4" s="1"/>
  <c r="EN55" i="4" s="1"/>
  <c r="EN56" i="4" s="1"/>
  <c r="EN57" i="4" s="1"/>
  <c r="EN58" i="4" s="1"/>
  <c r="EN59" i="4" s="1"/>
  <c r="EN60" i="4" s="1"/>
  <c r="EN61" i="4" s="1"/>
  <c r="EN62" i="4" s="1"/>
  <c r="EN63" i="4" s="1"/>
  <c r="EN64" i="4" s="1"/>
  <c r="EN65" i="4" s="1"/>
  <c r="EN66" i="4" s="1"/>
  <c r="EN67" i="4" s="1"/>
  <c r="EN68" i="4" s="1"/>
  <c r="EN69" i="4" s="1"/>
  <c r="EN70" i="4" s="1"/>
  <c r="EN71" i="4" s="1"/>
  <c r="EN72" i="4" s="1"/>
  <c r="EN73" i="4" s="1"/>
  <c r="EN74" i="4" s="1"/>
  <c r="EN75" i="4" s="1"/>
  <c r="EN76" i="4" s="1"/>
  <c r="EN77" i="4" s="1"/>
  <c r="EN78" i="4" s="1"/>
  <c r="EN79" i="4" s="1"/>
  <c r="EN80" i="4" s="1"/>
  <c r="EN81" i="4" s="1"/>
  <c r="EN82" i="4" s="1"/>
  <c r="EN83" i="4" s="1"/>
  <c r="EN84" i="4" s="1"/>
  <c r="EN85" i="4" s="1"/>
  <c r="EN86" i="4" s="1"/>
  <c r="EN87" i="4" s="1"/>
  <c r="EN88" i="4" s="1"/>
  <c r="EN89" i="4" s="1"/>
  <c r="EN90" i="4" s="1"/>
  <c r="EN91" i="4" s="1"/>
  <c r="EN92" i="4" s="1"/>
  <c r="EN93" i="4" s="1"/>
  <c r="EN94" i="4" s="1"/>
  <c r="EN95" i="4" s="1"/>
  <c r="EN96" i="4" s="1"/>
  <c r="EN97" i="4" s="1"/>
  <c r="EN98" i="4" s="1"/>
  <c r="EN99" i="4" s="1"/>
  <c r="EN100" i="4" s="1"/>
  <c r="EN101" i="4" s="1"/>
  <c r="EN102" i="4" s="1"/>
  <c r="EN103" i="4" s="1"/>
  <c r="EN104" i="4" s="1"/>
  <c r="EN105" i="4" s="1"/>
  <c r="EN106" i="4" s="1"/>
  <c r="EN107" i="4" s="1"/>
  <c r="EN108" i="4" s="1"/>
  <c r="EN109" i="4" s="1"/>
  <c r="EN110" i="4" s="1"/>
  <c r="EN111" i="4" s="1"/>
  <c r="EN112" i="4" s="1"/>
  <c r="EN113" i="4" s="1"/>
  <c r="EN114" i="4" s="1"/>
  <c r="EN115" i="4" s="1"/>
  <c r="EN116" i="4" s="1"/>
  <c r="EN117" i="4" s="1"/>
  <c r="EN118" i="4" s="1"/>
  <c r="EN119" i="4" s="1"/>
  <c r="EN120" i="4" s="1"/>
  <c r="EN121" i="4" s="1"/>
  <c r="EN122" i="4" s="1"/>
  <c r="EN123" i="4" s="1"/>
  <c r="EN124" i="4" s="1"/>
  <c r="EN125" i="4" s="1"/>
  <c r="EN126" i="4" s="1"/>
  <c r="EN127" i="4" s="1"/>
  <c r="EN128" i="4" s="1"/>
  <c r="EN129" i="4" s="1"/>
  <c r="EN130" i="4" s="1"/>
  <c r="EN131" i="4" s="1"/>
  <c r="EN132" i="4" s="1"/>
  <c r="EN133" i="4" s="1"/>
  <c r="EN134" i="4" s="1"/>
  <c r="EN135" i="4" s="1"/>
  <c r="EN136" i="4" s="1"/>
  <c r="EN137" i="4" s="1"/>
  <c r="EN138" i="4" s="1"/>
  <c r="EN139" i="4" s="1"/>
  <c r="EN140" i="4" s="1"/>
  <c r="EN141" i="4" s="1"/>
  <c r="EN142" i="4" s="1"/>
  <c r="EN143" i="4" s="1"/>
  <c r="EN144" i="4" s="1"/>
  <c r="EN145" i="4" s="1"/>
  <c r="EN146" i="4" s="1"/>
  <c r="EN147" i="4" s="1"/>
  <c r="EN148" i="4" s="1"/>
  <c r="EN149" i="4" s="1"/>
  <c r="EN150" i="4" s="1"/>
  <c r="EN151" i="4" s="1"/>
  <c r="EN152" i="4" s="1"/>
  <c r="EN153" i="4" s="1"/>
  <c r="EN154" i="4" s="1"/>
  <c r="EN155" i="4" s="1"/>
  <c r="EN156" i="4" s="1"/>
  <c r="EN157" i="4" s="1"/>
  <c r="EN158" i="4" s="1"/>
  <c r="EN159" i="4" s="1"/>
  <c r="EN160" i="4" s="1"/>
  <c r="EN161" i="4" s="1"/>
  <c r="EN162" i="4" s="1"/>
  <c r="EN163" i="4" s="1"/>
  <c r="EN164" i="4" s="1"/>
  <c r="EN165" i="4" s="1"/>
  <c r="EN166" i="4" s="1"/>
  <c r="EN167" i="4" s="1"/>
  <c r="EN168" i="4" s="1"/>
  <c r="EN169" i="4" s="1"/>
  <c r="EN170" i="4" s="1"/>
  <c r="EN171" i="4" s="1"/>
  <c r="EN172" i="4" s="1"/>
  <c r="EN173" i="4" s="1"/>
  <c r="EN174" i="4" s="1"/>
  <c r="EN175" i="4" s="1"/>
  <c r="EN176" i="4" s="1"/>
  <c r="EN177" i="4" s="1"/>
  <c r="EN178" i="4" s="1"/>
  <c r="EN179" i="4" s="1"/>
  <c r="EN180" i="4" s="1"/>
  <c r="EN181" i="4" s="1"/>
  <c r="EN182" i="4" s="1"/>
  <c r="EN183" i="4" s="1"/>
  <c r="EN184" i="4" s="1"/>
  <c r="EN185" i="4" s="1"/>
  <c r="EN186" i="4" s="1"/>
  <c r="EN187" i="4" s="1"/>
  <c r="EN188" i="4" s="1"/>
  <c r="EN189" i="4" s="1"/>
  <c r="EN190" i="4" s="1"/>
  <c r="EN191" i="4" s="1"/>
  <c r="EN192" i="4" s="1"/>
  <c r="EN193" i="4" s="1"/>
  <c r="EN194" i="4" s="1"/>
  <c r="EN195" i="4" s="1"/>
  <c r="EN196" i="4" s="1"/>
  <c r="EN197" i="4" s="1"/>
  <c r="EN198" i="4" s="1"/>
  <c r="EN199" i="4" s="1"/>
  <c r="EN200" i="4" s="1"/>
  <c r="EN201" i="4" s="1"/>
  <c r="EN202" i="4" s="1"/>
  <c r="EM3" i="4"/>
  <c r="EM4" i="4" s="1"/>
  <c r="EM5" i="4" s="1"/>
  <c r="EM6" i="4" s="1"/>
  <c r="EM7" i="4" s="1"/>
  <c r="EM8" i="4" s="1"/>
  <c r="EM9" i="4" s="1"/>
  <c r="EM10" i="4" s="1"/>
  <c r="EM11" i="4" s="1"/>
  <c r="EM12" i="4" s="1"/>
  <c r="EM13" i="4" s="1"/>
  <c r="EM14" i="4" s="1"/>
  <c r="EM15" i="4" s="1"/>
  <c r="EM16" i="4" s="1"/>
  <c r="EM17" i="4" s="1"/>
  <c r="EM18" i="4" s="1"/>
  <c r="EM19" i="4" s="1"/>
  <c r="EM20" i="4" s="1"/>
  <c r="EM21" i="4" s="1"/>
  <c r="EM22" i="4" s="1"/>
  <c r="EM23" i="4" s="1"/>
  <c r="EM24" i="4" s="1"/>
  <c r="EM25" i="4" s="1"/>
  <c r="EM26" i="4" s="1"/>
  <c r="EM27" i="4" s="1"/>
  <c r="EM28" i="4" s="1"/>
  <c r="EM29" i="4" s="1"/>
  <c r="EM30" i="4" s="1"/>
  <c r="EM31" i="4" s="1"/>
  <c r="EM32" i="4" s="1"/>
  <c r="EM33" i="4" s="1"/>
  <c r="EM34" i="4" s="1"/>
  <c r="EM35" i="4" s="1"/>
  <c r="EM36" i="4" s="1"/>
  <c r="EM37" i="4" s="1"/>
  <c r="EM38" i="4" s="1"/>
  <c r="EM39" i="4" s="1"/>
  <c r="EM40" i="4" s="1"/>
  <c r="EM41" i="4" s="1"/>
  <c r="EM42" i="4" s="1"/>
  <c r="EM43" i="4" s="1"/>
  <c r="EM44" i="4" s="1"/>
  <c r="EM45" i="4" s="1"/>
  <c r="EM46" i="4" s="1"/>
  <c r="EM47" i="4" s="1"/>
  <c r="EM48" i="4" s="1"/>
  <c r="EM49" i="4" s="1"/>
  <c r="EM50" i="4" s="1"/>
  <c r="EM51" i="4" s="1"/>
  <c r="EM52" i="4" s="1"/>
  <c r="EM53" i="4" s="1"/>
  <c r="EM54" i="4" s="1"/>
  <c r="EM55" i="4" s="1"/>
  <c r="EM56" i="4" s="1"/>
  <c r="EM57" i="4" s="1"/>
  <c r="EM58" i="4" s="1"/>
  <c r="EM59" i="4" s="1"/>
  <c r="EM60" i="4" s="1"/>
  <c r="EM61" i="4" s="1"/>
  <c r="EM62" i="4" s="1"/>
  <c r="EM63" i="4" s="1"/>
  <c r="EM64" i="4" s="1"/>
  <c r="EM65" i="4" s="1"/>
  <c r="EM66" i="4" s="1"/>
  <c r="EM67" i="4" s="1"/>
  <c r="EM68" i="4" s="1"/>
  <c r="EM69" i="4" s="1"/>
  <c r="EM70" i="4" s="1"/>
  <c r="EM71" i="4" s="1"/>
  <c r="EM72" i="4" s="1"/>
  <c r="EM73" i="4" s="1"/>
  <c r="EM74" i="4" s="1"/>
  <c r="EM75" i="4" s="1"/>
  <c r="EM76" i="4" s="1"/>
  <c r="EM77" i="4" s="1"/>
  <c r="EM78" i="4" s="1"/>
  <c r="EM79" i="4" s="1"/>
  <c r="EM80" i="4" s="1"/>
  <c r="EM81" i="4" s="1"/>
  <c r="EM82" i="4" s="1"/>
  <c r="EM83" i="4" s="1"/>
  <c r="EM84" i="4" s="1"/>
  <c r="EM85" i="4" s="1"/>
  <c r="EM86" i="4" s="1"/>
  <c r="EM87" i="4" s="1"/>
  <c r="EM88" i="4" s="1"/>
  <c r="EM89" i="4" s="1"/>
  <c r="EM90" i="4" s="1"/>
  <c r="EM91" i="4" s="1"/>
  <c r="EM92" i="4" s="1"/>
  <c r="EM93" i="4" s="1"/>
  <c r="EM94" i="4" s="1"/>
  <c r="EM95" i="4" s="1"/>
  <c r="EM96" i="4" s="1"/>
  <c r="EM97" i="4" s="1"/>
  <c r="EM98" i="4" s="1"/>
  <c r="EM99" i="4" s="1"/>
  <c r="EM100" i="4" s="1"/>
  <c r="EM101" i="4" s="1"/>
  <c r="EM102" i="4" s="1"/>
  <c r="EM103" i="4" s="1"/>
  <c r="EM104" i="4" s="1"/>
  <c r="EM105" i="4" s="1"/>
  <c r="EM106" i="4" s="1"/>
  <c r="EM107" i="4" s="1"/>
  <c r="EM108" i="4" s="1"/>
  <c r="EM109" i="4" s="1"/>
  <c r="EM110" i="4" s="1"/>
  <c r="EM111" i="4" s="1"/>
  <c r="EM112" i="4" s="1"/>
  <c r="EM113" i="4" s="1"/>
  <c r="EM114" i="4" s="1"/>
  <c r="EM115" i="4" s="1"/>
  <c r="EM116" i="4" s="1"/>
  <c r="EM117" i="4" s="1"/>
  <c r="EM118" i="4" s="1"/>
  <c r="EM119" i="4" s="1"/>
  <c r="EM120" i="4" s="1"/>
  <c r="EM121" i="4" s="1"/>
  <c r="EM122" i="4" s="1"/>
  <c r="EM123" i="4" s="1"/>
  <c r="EM124" i="4" s="1"/>
  <c r="EM125" i="4" s="1"/>
  <c r="EM126" i="4" s="1"/>
  <c r="EM127" i="4" s="1"/>
  <c r="EM128" i="4" s="1"/>
  <c r="EM129" i="4" s="1"/>
  <c r="EM130" i="4" s="1"/>
  <c r="EM131" i="4" s="1"/>
  <c r="EM132" i="4" s="1"/>
  <c r="EM133" i="4" s="1"/>
  <c r="EM134" i="4" s="1"/>
  <c r="EM135" i="4" s="1"/>
  <c r="EM136" i="4" s="1"/>
  <c r="EM137" i="4" s="1"/>
  <c r="EM138" i="4" s="1"/>
  <c r="EM139" i="4" s="1"/>
  <c r="EM140" i="4" s="1"/>
  <c r="EM141" i="4" s="1"/>
  <c r="EM142" i="4" s="1"/>
  <c r="EM143" i="4" s="1"/>
  <c r="EM144" i="4" s="1"/>
  <c r="EM145" i="4" s="1"/>
  <c r="EM146" i="4" s="1"/>
  <c r="EM147" i="4" s="1"/>
  <c r="EM148" i="4" s="1"/>
  <c r="EM149" i="4" s="1"/>
  <c r="EM150" i="4" s="1"/>
  <c r="EM151" i="4" s="1"/>
  <c r="EM152" i="4" s="1"/>
  <c r="EM153" i="4" s="1"/>
  <c r="EM154" i="4" s="1"/>
  <c r="EM155" i="4" s="1"/>
  <c r="EM156" i="4" s="1"/>
  <c r="EM157" i="4" s="1"/>
  <c r="EM158" i="4" s="1"/>
  <c r="EM159" i="4" s="1"/>
  <c r="EM160" i="4" s="1"/>
  <c r="EM161" i="4" s="1"/>
  <c r="EM162" i="4" s="1"/>
  <c r="EM163" i="4" s="1"/>
  <c r="EM164" i="4" s="1"/>
  <c r="EM165" i="4" s="1"/>
  <c r="EM166" i="4" s="1"/>
  <c r="EM167" i="4" s="1"/>
  <c r="EM168" i="4" s="1"/>
  <c r="EM169" i="4" s="1"/>
  <c r="EM170" i="4" s="1"/>
  <c r="EM171" i="4" s="1"/>
  <c r="EM172" i="4" s="1"/>
  <c r="EM173" i="4" s="1"/>
  <c r="EM174" i="4" s="1"/>
  <c r="EM175" i="4" s="1"/>
  <c r="EM176" i="4" s="1"/>
  <c r="EM177" i="4" s="1"/>
  <c r="EM178" i="4" s="1"/>
  <c r="EM179" i="4" s="1"/>
  <c r="EM180" i="4" s="1"/>
  <c r="EM181" i="4" s="1"/>
  <c r="EM182" i="4" s="1"/>
  <c r="EM183" i="4" s="1"/>
  <c r="EM184" i="4" s="1"/>
  <c r="EM185" i="4" s="1"/>
  <c r="EM186" i="4" s="1"/>
  <c r="EM187" i="4" s="1"/>
  <c r="EM188" i="4" s="1"/>
  <c r="EM189" i="4" s="1"/>
  <c r="EM190" i="4" s="1"/>
  <c r="EM191" i="4" s="1"/>
  <c r="EM192" i="4" s="1"/>
  <c r="EM193" i="4" s="1"/>
  <c r="EM194" i="4" s="1"/>
  <c r="EM195" i="4" s="1"/>
  <c r="EM196" i="4" s="1"/>
  <c r="EM197" i="4" s="1"/>
  <c r="EM198" i="4" s="1"/>
  <c r="EM199" i="4" s="1"/>
  <c r="EM200" i="4" s="1"/>
  <c r="EM201" i="4" s="1"/>
  <c r="EM202" i="4" s="1"/>
  <c r="EL3" i="4"/>
  <c r="EL4" i="4" s="1"/>
  <c r="EL5" i="4" s="1"/>
  <c r="EL6" i="4" s="1"/>
  <c r="EL7" i="4" s="1"/>
  <c r="EL8" i="4" s="1"/>
  <c r="EL9" i="4" s="1"/>
  <c r="EL10" i="4" s="1"/>
  <c r="EL11" i="4" s="1"/>
  <c r="EL12" i="4" s="1"/>
  <c r="EL13" i="4" s="1"/>
  <c r="EL14" i="4" s="1"/>
  <c r="EL15" i="4" s="1"/>
  <c r="EL16" i="4" s="1"/>
  <c r="EL17" i="4" s="1"/>
  <c r="EL18" i="4" s="1"/>
  <c r="EL19" i="4" s="1"/>
  <c r="EL20" i="4" s="1"/>
  <c r="EL21" i="4" s="1"/>
  <c r="EL22" i="4" s="1"/>
  <c r="EL23" i="4" s="1"/>
  <c r="EL24" i="4" s="1"/>
  <c r="EL25" i="4" s="1"/>
  <c r="EL26" i="4" s="1"/>
  <c r="EL27" i="4" s="1"/>
  <c r="EL28" i="4" s="1"/>
  <c r="EL29" i="4" s="1"/>
  <c r="EL30" i="4" s="1"/>
  <c r="EL31" i="4" s="1"/>
  <c r="EL32" i="4" s="1"/>
  <c r="EL33" i="4" s="1"/>
  <c r="EL34" i="4" s="1"/>
  <c r="EL35" i="4" s="1"/>
  <c r="EL36" i="4" s="1"/>
  <c r="EL37" i="4" s="1"/>
  <c r="EL38" i="4" s="1"/>
  <c r="EL39" i="4" s="1"/>
  <c r="EL40" i="4" s="1"/>
  <c r="EL41" i="4" s="1"/>
  <c r="EL42" i="4" s="1"/>
  <c r="EL43" i="4" s="1"/>
  <c r="EL44" i="4" s="1"/>
  <c r="EL45" i="4" s="1"/>
  <c r="EL46" i="4" s="1"/>
  <c r="EL47" i="4" s="1"/>
  <c r="EL48" i="4" s="1"/>
  <c r="EL49" i="4" s="1"/>
  <c r="EL50" i="4" s="1"/>
  <c r="EL51" i="4" s="1"/>
  <c r="EL52" i="4" s="1"/>
  <c r="EL53" i="4" s="1"/>
  <c r="EL54" i="4" s="1"/>
  <c r="EL55" i="4" s="1"/>
  <c r="EL56" i="4" s="1"/>
  <c r="EL57" i="4" s="1"/>
  <c r="EL58" i="4" s="1"/>
  <c r="EL59" i="4" s="1"/>
  <c r="EL60" i="4" s="1"/>
  <c r="EL61" i="4" s="1"/>
  <c r="EL62" i="4" s="1"/>
  <c r="EL63" i="4" s="1"/>
  <c r="EL64" i="4" s="1"/>
  <c r="EL65" i="4" s="1"/>
  <c r="EL66" i="4" s="1"/>
  <c r="EL67" i="4" s="1"/>
  <c r="EL68" i="4" s="1"/>
  <c r="EL69" i="4" s="1"/>
  <c r="EL70" i="4" s="1"/>
  <c r="EL71" i="4" s="1"/>
  <c r="EL72" i="4" s="1"/>
  <c r="EL73" i="4" s="1"/>
  <c r="EL74" i="4" s="1"/>
  <c r="EL75" i="4" s="1"/>
  <c r="EL76" i="4" s="1"/>
  <c r="EL77" i="4" s="1"/>
  <c r="EL78" i="4" s="1"/>
  <c r="EL79" i="4" s="1"/>
  <c r="EL80" i="4" s="1"/>
  <c r="EL81" i="4" s="1"/>
  <c r="EL82" i="4" s="1"/>
  <c r="EL83" i="4" s="1"/>
  <c r="EL84" i="4" s="1"/>
  <c r="EL85" i="4" s="1"/>
  <c r="EL86" i="4" s="1"/>
  <c r="EL87" i="4" s="1"/>
  <c r="EL88" i="4" s="1"/>
  <c r="EL89" i="4" s="1"/>
  <c r="EL90" i="4" s="1"/>
  <c r="EL91" i="4" s="1"/>
  <c r="EL92" i="4" s="1"/>
  <c r="EL93" i="4" s="1"/>
  <c r="EL94" i="4" s="1"/>
  <c r="EL95" i="4" s="1"/>
  <c r="EL96" i="4" s="1"/>
  <c r="EL97" i="4" s="1"/>
  <c r="EL98" i="4" s="1"/>
  <c r="EL99" i="4" s="1"/>
  <c r="EL100" i="4" s="1"/>
  <c r="EL101" i="4" s="1"/>
  <c r="EL102" i="4" s="1"/>
  <c r="EL103" i="4" s="1"/>
  <c r="EL104" i="4" s="1"/>
  <c r="EL105" i="4" s="1"/>
  <c r="EL106" i="4" s="1"/>
  <c r="EL107" i="4" s="1"/>
  <c r="EL108" i="4" s="1"/>
  <c r="EL109" i="4" s="1"/>
  <c r="EL110" i="4" s="1"/>
  <c r="EL111" i="4" s="1"/>
  <c r="EL112" i="4" s="1"/>
  <c r="EL113" i="4" s="1"/>
  <c r="EL114" i="4" s="1"/>
  <c r="EL115" i="4" s="1"/>
  <c r="EL116" i="4" s="1"/>
  <c r="EL117" i="4" s="1"/>
  <c r="EL118" i="4" s="1"/>
  <c r="EL119" i="4" s="1"/>
  <c r="EL120" i="4" s="1"/>
  <c r="EL121" i="4" s="1"/>
  <c r="EL122" i="4" s="1"/>
  <c r="EL123" i="4" s="1"/>
  <c r="EL124" i="4" s="1"/>
  <c r="EL125" i="4" s="1"/>
  <c r="EL126" i="4" s="1"/>
  <c r="EL127" i="4" s="1"/>
  <c r="EL128" i="4" s="1"/>
  <c r="EL129" i="4" s="1"/>
  <c r="EL130" i="4" s="1"/>
  <c r="EL131" i="4" s="1"/>
  <c r="EL132" i="4" s="1"/>
  <c r="EL133" i="4" s="1"/>
  <c r="EL134" i="4" s="1"/>
  <c r="EL135" i="4" s="1"/>
  <c r="EL136" i="4" s="1"/>
  <c r="EL137" i="4" s="1"/>
  <c r="EL138" i="4" s="1"/>
  <c r="EL139" i="4" s="1"/>
  <c r="EL140" i="4" s="1"/>
  <c r="EL141" i="4" s="1"/>
  <c r="EL142" i="4" s="1"/>
  <c r="EL143" i="4" s="1"/>
  <c r="EL144" i="4" s="1"/>
  <c r="EL145" i="4" s="1"/>
  <c r="EL146" i="4" s="1"/>
  <c r="EL147" i="4" s="1"/>
  <c r="EL148" i="4" s="1"/>
  <c r="EL149" i="4" s="1"/>
  <c r="EL150" i="4" s="1"/>
  <c r="EL151" i="4" s="1"/>
  <c r="EL152" i="4" s="1"/>
  <c r="EL153" i="4" s="1"/>
  <c r="EL154" i="4" s="1"/>
  <c r="EL155" i="4" s="1"/>
  <c r="EL156" i="4" s="1"/>
  <c r="EL157" i="4" s="1"/>
  <c r="EL158" i="4" s="1"/>
  <c r="EL159" i="4" s="1"/>
  <c r="EL160" i="4" s="1"/>
  <c r="EL161" i="4" s="1"/>
  <c r="EL162" i="4" s="1"/>
  <c r="EL163" i="4" s="1"/>
  <c r="EL164" i="4" s="1"/>
  <c r="EL165" i="4" s="1"/>
  <c r="EL166" i="4" s="1"/>
  <c r="EL167" i="4" s="1"/>
  <c r="EL168" i="4" s="1"/>
  <c r="EL169" i="4" s="1"/>
  <c r="EL170" i="4" s="1"/>
  <c r="EL171" i="4" s="1"/>
  <c r="EL172" i="4" s="1"/>
  <c r="EL173" i="4" s="1"/>
  <c r="EL174" i="4" s="1"/>
  <c r="EL175" i="4" s="1"/>
  <c r="EL176" i="4" s="1"/>
  <c r="EL177" i="4" s="1"/>
  <c r="EL178" i="4" s="1"/>
  <c r="EL179" i="4" s="1"/>
  <c r="EL180" i="4" s="1"/>
  <c r="EL181" i="4" s="1"/>
  <c r="EL182" i="4" s="1"/>
  <c r="EL183" i="4" s="1"/>
  <c r="EL184" i="4" s="1"/>
  <c r="EL185" i="4" s="1"/>
  <c r="EL186" i="4" s="1"/>
  <c r="EL187" i="4" s="1"/>
  <c r="EL188" i="4" s="1"/>
  <c r="EL189" i="4" s="1"/>
  <c r="EL190" i="4" s="1"/>
  <c r="EL191" i="4" s="1"/>
  <c r="EL192" i="4" s="1"/>
  <c r="EL193" i="4" s="1"/>
  <c r="EL194" i="4" s="1"/>
  <c r="EL195" i="4" s="1"/>
  <c r="EL196" i="4" s="1"/>
  <c r="EL197" i="4" s="1"/>
  <c r="EL198" i="4" s="1"/>
  <c r="EL199" i="4" s="1"/>
  <c r="EL200" i="4" s="1"/>
  <c r="EL201" i="4" s="1"/>
  <c r="EL202" i="4" s="1"/>
  <c r="EK3" i="4"/>
  <c r="EK4" i="4" s="1"/>
  <c r="EK5" i="4" s="1"/>
  <c r="EK6" i="4" s="1"/>
  <c r="EK7" i="4" s="1"/>
  <c r="EK8" i="4" s="1"/>
  <c r="EK9" i="4" s="1"/>
  <c r="EK10" i="4" s="1"/>
  <c r="EK11" i="4" s="1"/>
  <c r="EK12" i="4" s="1"/>
  <c r="EK13" i="4" s="1"/>
  <c r="EK14" i="4" s="1"/>
  <c r="EK15" i="4" s="1"/>
  <c r="EK16" i="4" s="1"/>
  <c r="EK17" i="4" s="1"/>
  <c r="EK18" i="4" s="1"/>
  <c r="EK19" i="4" s="1"/>
  <c r="EK20" i="4" s="1"/>
  <c r="EK21" i="4" s="1"/>
  <c r="EK22" i="4" s="1"/>
  <c r="EK23" i="4" s="1"/>
  <c r="EK24" i="4" s="1"/>
  <c r="EK25" i="4" s="1"/>
  <c r="EK26" i="4" s="1"/>
  <c r="EK27" i="4" s="1"/>
  <c r="EK28" i="4" s="1"/>
  <c r="EK29" i="4" s="1"/>
  <c r="EK30" i="4" s="1"/>
  <c r="EK31" i="4" s="1"/>
  <c r="EK32" i="4" s="1"/>
  <c r="EK33" i="4" s="1"/>
  <c r="EK34" i="4" s="1"/>
  <c r="EK35" i="4" s="1"/>
  <c r="EK36" i="4" s="1"/>
  <c r="EK37" i="4" s="1"/>
  <c r="EK38" i="4" s="1"/>
  <c r="EK39" i="4" s="1"/>
  <c r="EK40" i="4" s="1"/>
  <c r="EK41" i="4" s="1"/>
  <c r="EK42" i="4" s="1"/>
  <c r="EK43" i="4" s="1"/>
  <c r="EK44" i="4" s="1"/>
  <c r="EK45" i="4" s="1"/>
  <c r="EK46" i="4" s="1"/>
  <c r="EK47" i="4" s="1"/>
  <c r="EK48" i="4" s="1"/>
  <c r="EK49" i="4" s="1"/>
  <c r="EK50" i="4" s="1"/>
  <c r="EK51" i="4" s="1"/>
  <c r="EK52" i="4" s="1"/>
  <c r="EK53" i="4" s="1"/>
  <c r="EK54" i="4" s="1"/>
  <c r="EK55" i="4" s="1"/>
  <c r="EK56" i="4" s="1"/>
  <c r="EK57" i="4" s="1"/>
  <c r="EK58" i="4" s="1"/>
  <c r="EK59" i="4" s="1"/>
  <c r="EK60" i="4" s="1"/>
  <c r="EK61" i="4" s="1"/>
  <c r="EK62" i="4" s="1"/>
  <c r="EK63" i="4" s="1"/>
  <c r="EK64" i="4" s="1"/>
  <c r="EK65" i="4" s="1"/>
  <c r="EK66" i="4" s="1"/>
  <c r="EK67" i="4" s="1"/>
  <c r="EK68" i="4" s="1"/>
  <c r="EK69" i="4" s="1"/>
  <c r="EK70" i="4" s="1"/>
  <c r="EK71" i="4" s="1"/>
  <c r="EK72" i="4" s="1"/>
  <c r="EK73" i="4" s="1"/>
  <c r="EK74" i="4" s="1"/>
  <c r="EK75" i="4" s="1"/>
  <c r="EK76" i="4" s="1"/>
  <c r="EK77" i="4" s="1"/>
  <c r="EK78" i="4" s="1"/>
  <c r="EK79" i="4" s="1"/>
  <c r="EK80" i="4" s="1"/>
  <c r="EK81" i="4" s="1"/>
  <c r="EK82" i="4" s="1"/>
  <c r="EK83" i="4" s="1"/>
  <c r="EK84" i="4" s="1"/>
  <c r="EK85" i="4" s="1"/>
  <c r="EK86" i="4" s="1"/>
  <c r="EK87" i="4" s="1"/>
  <c r="EK88" i="4" s="1"/>
  <c r="EK89" i="4" s="1"/>
  <c r="EK90" i="4" s="1"/>
  <c r="EK91" i="4" s="1"/>
  <c r="EK92" i="4" s="1"/>
  <c r="EK93" i="4" s="1"/>
  <c r="EK94" i="4" s="1"/>
  <c r="EK95" i="4" s="1"/>
  <c r="EK96" i="4" s="1"/>
  <c r="EK97" i="4" s="1"/>
  <c r="EK98" i="4" s="1"/>
  <c r="EK99" i="4" s="1"/>
  <c r="EK100" i="4" s="1"/>
  <c r="EK101" i="4" s="1"/>
  <c r="EK102" i="4" s="1"/>
  <c r="EK103" i="4" s="1"/>
  <c r="EK104" i="4" s="1"/>
  <c r="EK105" i="4" s="1"/>
  <c r="EK106" i="4" s="1"/>
  <c r="EK107" i="4" s="1"/>
  <c r="EK108" i="4" s="1"/>
  <c r="EK109" i="4" s="1"/>
  <c r="EK110" i="4" s="1"/>
  <c r="EK111" i="4" s="1"/>
  <c r="EK112" i="4" s="1"/>
  <c r="EK113" i="4" s="1"/>
  <c r="EK114" i="4" s="1"/>
  <c r="EK115" i="4" s="1"/>
  <c r="EK116" i="4" s="1"/>
  <c r="EK117" i="4" s="1"/>
  <c r="EK118" i="4" s="1"/>
  <c r="EK119" i="4" s="1"/>
  <c r="EK120" i="4" s="1"/>
  <c r="EK121" i="4" s="1"/>
  <c r="EK122" i="4" s="1"/>
  <c r="EK123" i="4" s="1"/>
  <c r="EK124" i="4" s="1"/>
  <c r="EK125" i="4" s="1"/>
  <c r="EK126" i="4" s="1"/>
  <c r="EK127" i="4" s="1"/>
  <c r="EK128" i="4" s="1"/>
  <c r="EK129" i="4" s="1"/>
  <c r="EK130" i="4" s="1"/>
  <c r="EK131" i="4" s="1"/>
  <c r="EK132" i="4" s="1"/>
  <c r="EK133" i="4" s="1"/>
  <c r="EK134" i="4" s="1"/>
  <c r="EK135" i="4" s="1"/>
  <c r="EK136" i="4" s="1"/>
  <c r="EK137" i="4" s="1"/>
  <c r="EK138" i="4" s="1"/>
  <c r="EK139" i="4" s="1"/>
  <c r="EK140" i="4" s="1"/>
  <c r="EK141" i="4" s="1"/>
  <c r="EK142" i="4" s="1"/>
  <c r="EK143" i="4" s="1"/>
  <c r="EK144" i="4" s="1"/>
  <c r="EK145" i="4" s="1"/>
  <c r="EK146" i="4" s="1"/>
  <c r="EK147" i="4" s="1"/>
  <c r="EK148" i="4" s="1"/>
  <c r="EK149" i="4" s="1"/>
  <c r="EK150" i="4" s="1"/>
  <c r="EK151" i="4" s="1"/>
  <c r="EK152" i="4" s="1"/>
  <c r="EK153" i="4" s="1"/>
  <c r="EK154" i="4" s="1"/>
  <c r="EK155" i="4" s="1"/>
  <c r="EK156" i="4" s="1"/>
  <c r="EK157" i="4" s="1"/>
  <c r="EK158" i="4" s="1"/>
  <c r="EK159" i="4" s="1"/>
  <c r="EK160" i="4" s="1"/>
  <c r="EK161" i="4" s="1"/>
  <c r="EK162" i="4" s="1"/>
  <c r="EK163" i="4" s="1"/>
  <c r="EK164" i="4" s="1"/>
  <c r="EK165" i="4" s="1"/>
  <c r="EK166" i="4" s="1"/>
  <c r="EK167" i="4" s="1"/>
  <c r="EK168" i="4" s="1"/>
  <c r="EK169" i="4" s="1"/>
  <c r="EK170" i="4" s="1"/>
  <c r="EK171" i="4" s="1"/>
  <c r="EK172" i="4" s="1"/>
  <c r="EK173" i="4" s="1"/>
  <c r="EK174" i="4" s="1"/>
  <c r="EK175" i="4" s="1"/>
  <c r="EK176" i="4" s="1"/>
  <c r="EK177" i="4" s="1"/>
  <c r="EK178" i="4" s="1"/>
  <c r="EK179" i="4" s="1"/>
  <c r="EK180" i="4" s="1"/>
  <c r="EK181" i="4" s="1"/>
  <c r="EK182" i="4" s="1"/>
  <c r="EK183" i="4" s="1"/>
  <c r="EK184" i="4" s="1"/>
  <c r="EK185" i="4" s="1"/>
  <c r="EK186" i="4" s="1"/>
  <c r="EK187" i="4" s="1"/>
  <c r="EK188" i="4" s="1"/>
  <c r="EK189" i="4" s="1"/>
  <c r="EK190" i="4" s="1"/>
  <c r="EK191" i="4" s="1"/>
  <c r="EK192" i="4" s="1"/>
  <c r="EK193" i="4" s="1"/>
  <c r="EK194" i="4" s="1"/>
  <c r="EK195" i="4" s="1"/>
  <c r="EK196" i="4" s="1"/>
  <c r="EK197" i="4" s="1"/>
  <c r="EK198" i="4" s="1"/>
  <c r="EK199" i="4" s="1"/>
  <c r="EK200" i="4" s="1"/>
  <c r="EK201" i="4" s="1"/>
  <c r="EK202" i="4" s="1"/>
  <c r="EJ3" i="4"/>
  <c r="EJ4" i="4" s="1"/>
  <c r="EJ5" i="4" s="1"/>
  <c r="EJ6" i="4" s="1"/>
  <c r="EJ7" i="4" s="1"/>
  <c r="EJ8" i="4" s="1"/>
  <c r="EJ9" i="4" s="1"/>
  <c r="EJ10" i="4" s="1"/>
  <c r="EJ11" i="4" s="1"/>
  <c r="EJ12" i="4" s="1"/>
  <c r="EJ13" i="4" s="1"/>
  <c r="EJ14" i="4" s="1"/>
  <c r="EJ15" i="4" s="1"/>
  <c r="EJ16" i="4" s="1"/>
  <c r="EJ17" i="4" s="1"/>
  <c r="EJ18" i="4" s="1"/>
  <c r="EJ19" i="4" s="1"/>
  <c r="EJ20" i="4" s="1"/>
  <c r="EJ21" i="4" s="1"/>
  <c r="EJ22" i="4" s="1"/>
  <c r="EJ23" i="4" s="1"/>
  <c r="EJ24" i="4" s="1"/>
  <c r="EJ25" i="4" s="1"/>
  <c r="EJ26" i="4" s="1"/>
  <c r="EJ27" i="4" s="1"/>
  <c r="EJ28" i="4" s="1"/>
  <c r="EJ29" i="4" s="1"/>
  <c r="EJ30" i="4" s="1"/>
  <c r="EJ31" i="4" s="1"/>
  <c r="EJ32" i="4" s="1"/>
  <c r="EJ33" i="4" s="1"/>
  <c r="EJ34" i="4" s="1"/>
  <c r="EJ35" i="4" s="1"/>
  <c r="EJ36" i="4" s="1"/>
  <c r="EJ37" i="4" s="1"/>
  <c r="EJ38" i="4" s="1"/>
  <c r="EJ39" i="4" s="1"/>
  <c r="EJ40" i="4" s="1"/>
  <c r="EJ41" i="4" s="1"/>
  <c r="EJ42" i="4" s="1"/>
  <c r="EJ43" i="4" s="1"/>
  <c r="EJ44" i="4" s="1"/>
  <c r="EJ45" i="4" s="1"/>
  <c r="EJ46" i="4" s="1"/>
  <c r="EJ47" i="4" s="1"/>
  <c r="EJ48" i="4" s="1"/>
  <c r="EJ49" i="4" s="1"/>
  <c r="EJ50" i="4" s="1"/>
  <c r="EJ51" i="4" s="1"/>
  <c r="EJ52" i="4" s="1"/>
  <c r="EJ53" i="4" s="1"/>
  <c r="EJ54" i="4" s="1"/>
  <c r="EJ55" i="4" s="1"/>
  <c r="EJ56" i="4" s="1"/>
  <c r="EJ57" i="4" s="1"/>
  <c r="EJ58" i="4" s="1"/>
  <c r="EJ59" i="4" s="1"/>
  <c r="EJ60" i="4" s="1"/>
  <c r="EJ61" i="4" s="1"/>
  <c r="EJ62" i="4" s="1"/>
  <c r="EJ63" i="4" s="1"/>
  <c r="EJ64" i="4" s="1"/>
  <c r="EJ65" i="4" s="1"/>
  <c r="EJ66" i="4" s="1"/>
  <c r="EJ67" i="4" s="1"/>
  <c r="EJ68" i="4" s="1"/>
  <c r="EJ69" i="4" s="1"/>
  <c r="EJ70" i="4" s="1"/>
  <c r="EJ71" i="4" s="1"/>
  <c r="EJ72" i="4" s="1"/>
  <c r="EJ73" i="4" s="1"/>
  <c r="EJ74" i="4" s="1"/>
  <c r="EJ75" i="4" s="1"/>
  <c r="EJ76" i="4" s="1"/>
  <c r="EJ77" i="4" s="1"/>
  <c r="EJ78" i="4" s="1"/>
  <c r="EJ79" i="4" s="1"/>
  <c r="EJ80" i="4" s="1"/>
  <c r="EJ81" i="4" s="1"/>
  <c r="EJ82" i="4" s="1"/>
  <c r="EJ83" i="4" s="1"/>
  <c r="EJ84" i="4" s="1"/>
  <c r="EJ85" i="4" s="1"/>
  <c r="EJ86" i="4" s="1"/>
  <c r="EJ87" i="4" s="1"/>
  <c r="EJ88" i="4" s="1"/>
  <c r="EJ89" i="4" s="1"/>
  <c r="EJ90" i="4" s="1"/>
  <c r="EJ91" i="4" s="1"/>
  <c r="EJ92" i="4" s="1"/>
  <c r="EJ93" i="4" s="1"/>
  <c r="EJ94" i="4" s="1"/>
  <c r="EJ95" i="4" s="1"/>
  <c r="EJ96" i="4" s="1"/>
  <c r="EJ97" i="4" s="1"/>
  <c r="EJ98" i="4" s="1"/>
  <c r="EJ99" i="4" s="1"/>
  <c r="EJ100" i="4" s="1"/>
  <c r="EJ101" i="4" s="1"/>
  <c r="EJ102" i="4" s="1"/>
  <c r="EJ103" i="4" s="1"/>
  <c r="EJ104" i="4" s="1"/>
  <c r="EJ105" i="4" s="1"/>
  <c r="EJ106" i="4" s="1"/>
  <c r="EJ107" i="4" s="1"/>
  <c r="EJ108" i="4" s="1"/>
  <c r="EJ109" i="4" s="1"/>
  <c r="EJ110" i="4" s="1"/>
  <c r="EJ111" i="4" s="1"/>
  <c r="EJ112" i="4" s="1"/>
  <c r="EJ113" i="4" s="1"/>
  <c r="EJ114" i="4" s="1"/>
  <c r="EJ115" i="4" s="1"/>
  <c r="EJ116" i="4" s="1"/>
  <c r="EJ117" i="4" s="1"/>
  <c r="EJ118" i="4" s="1"/>
  <c r="EJ119" i="4" s="1"/>
  <c r="EJ120" i="4" s="1"/>
  <c r="EJ121" i="4" s="1"/>
  <c r="EJ122" i="4" s="1"/>
  <c r="EJ123" i="4" s="1"/>
  <c r="EJ124" i="4" s="1"/>
  <c r="EJ125" i="4" s="1"/>
  <c r="EJ126" i="4" s="1"/>
  <c r="EJ127" i="4" s="1"/>
  <c r="EJ128" i="4" s="1"/>
  <c r="EJ129" i="4" s="1"/>
  <c r="EJ130" i="4" s="1"/>
  <c r="EJ131" i="4" s="1"/>
  <c r="EJ132" i="4" s="1"/>
  <c r="EJ133" i="4" s="1"/>
  <c r="EJ134" i="4" s="1"/>
  <c r="EJ135" i="4" s="1"/>
  <c r="EJ136" i="4" s="1"/>
  <c r="EJ137" i="4" s="1"/>
  <c r="EJ138" i="4" s="1"/>
  <c r="EJ139" i="4" s="1"/>
  <c r="EJ140" i="4" s="1"/>
  <c r="EJ141" i="4" s="1"/>
  <c r="EJ142" i="4" s="1"/>
  <c r="EJ143" i="4" s="1"/>
  <c r="EJ144" i="4" s="1"/>
  <c r="EJ145" i="4" s="1"/>
  <c r="EJ146" i="4" s="1"/>
  <c r="EJ147" i="4" s="1"/>
  <c r="EJ148" i="4" s="1"/>
  <c r="EJ149" i="4" s="1"/>
  <c r="EJ150" i="4" s="1"/>
  <c r="EJ151" i="4" s="1"/>
  <c r="EJ152" i="4" s="1"/>
  <c r="EJ153" i="4" s="1"/>
  <c r="EJ154" i="4" s="1"/>
  <c r="EJ155" i="4" s="1"/>
  <c r="EJ156" i="4" s="1"/>
  <c r="EJ157" i="4" s="1"/>
  <c r="EJ158" i="4" s="1"/>
  <c r="EJ159" i="4" s="1"/>
  <c r="EJ160" i="4" s="1"/>
  <c r="EJ161" i="4" s="1"/>
  <c r="EJ162" i="4" s="1"/>
  <c r="EJ163" i="4" s="1"/>
  <c r="EJ164" i="4" s="1"/>
  <c r="EJ165" i="4" s="1"/>
  <c r="EJ166" i="4" s="1"/>
  <c r="EJ167" i="4" s="1"/>
  <c r="EJ168" i="4" s="1"/>
  <c r="EJ169" i="4" s="1"/>
  <c r="EJ170" i="4" s="1"/>
  <c r="EJ171" i="4" s="1"/>
  <c r="EJ172" i="4" s="1"/>
  <c r="EJ173" i="4" s="1"/>
  <c r="EJ174" i="4" s="1"/>
  <c r="EJ175" i="4" s="1"/>
  <c r="EJ176" i="4" s="1"/>
  <c r="EJ177" i="4" s="1"/>
  <c r="EJ178" i="4" s="1"/>
  <c r="EJ179" i="4" s="1"/>
  <c r="EJ180" i="4" s="1"/>
  <c r="EJ181" i="4" s="1"/>
  <c r="EJ182" i="4" s="1"/>
  <c r="EJ183" i="4" s="1"/>
  <c r="EJ184" i="4" s="1"/>
  <c r="EJ185" i="4" s="1"/>
  <c r="EJ186" i="4" s="1"/>
  <c r="EJ187" i="4" s="1"/>
  <c r="EJ188" i="4" s="1"/>
  <c r="EJ189" i="4" s="1"/>
  <c r="EJ190" i="4" s="1"/>
  <c r="EJ191" i="4" s="1"/>
  <c r="EJ192" i="4" s="1"/>
  <c r="EJ193" i="4" s="1"/>
  <c r="EJ194" i="4" s="1"/>
  <c r="EJ195" i="4" s="1"/>
  <c r="EJ196" i="4" s="1"/>
  <c r="EJ197" i="4" s="1"/>
  <c r="EJ198" i="4" s="1"/>
  <c r="EJ199" i="4" s="1"/>
  <c r="EJ200" i="4" s="1"/>
  <c r="EJ201" i="4" s="1"/>
  <c r="EJ202" i="4" s="1"/>
  <c r="EI3" i="4"/>
  <c r="EI4" i="4" s="1"/>
  <c r="EI5" i="4" s="1"/>
  <c r="EI6" i="4" s="1"/>
  <c r="EI7" i="4" s="1"/>
  <c r="EI8" i="4" s="1"/>
  <c r="EI9" i="4" s="1"/>
  <c r="EI10" i="4" s="1"/>
  <c r="EI11" i="4" s="1"/>
  <c r="EI12" i="4" s="1"/>
  <c r="EI13" i="4" s="1"/>
  <c r="EI14" i="4" s="1"/>
  <c r="EI15" i="4" s="1"/>
  <c r="EI16" i="4" s="1"/>
  <c r="EI17" i="4" s="1"/>
  <c r="EI18" i="4" s="1"/>
  <c r="EI19" i="4" s="1"/>
  <c r="EI20" i="4" s="1"/>
  <c r="EI21" i="4" s="1"/>
  <c r="EI22" i="4" s="1"/>
  <c r="EI23" i="4" s="1"/>
  <c r="EI24" i="4" s="1"/>
  <c r="EI25" i="4" s="1"/>
  <c r="EI26" i="4" s="1"/>
  <c r="EI27" i="4" s="1"/>
  <c r="EI28" i="4" s="1"/>
  <c r="EI29" i="4" s="1"/>
  <c r="EI30" i="4" s="1"/>
  <c r="EI31" i="4" s="1"/>
  <c r="EI32" i="4" s="1"/>
  <c r="EI33" i="4" s="1"/>
  <c r="EI34" i="4" s="1"/>
  <c r="EI35" i="4" s="1"/>
  <c r="EI36" i="4" s="1"/>
  <c r="EI37" i="4" s="1"/>
  <c r="EI38" i="4" s="1"/>
  <c r="EI39" i="4" s="1"/>
  <c r="EI40" i="4" s="1"/>
  <c r="EI41" i="4" s="1"/>
  <c r="EI42" i="4" s="1"/>
  <c r="EI43" i="4" s="1"/>
  <c r="EI44" i="4" s="1"/>
  <c r="EI45" i="4" s="1"/>
  <c r="EI46" i="4" s="1"/>
  <c r="EI47" i="4" s="1"/>
  <c r="EI48" i="4" s="1"/>
  <c r="EI49" i="4" s="1"/>
  <c r="EI50" i="4" s="1"/>
  <c r="EI51" i="4" s="1"/>
  <c r="EI52" i="4" s="1"/>
  <c r="EI53" i="4" s="1"/>
  <c r="EI54" i="4" s="1"/>
  <c r="EI55" i="4" s="1"/>
  <c r="EI56" i="4" s="1"/>
  <c r="EI57" i="4" s="1"/>
  <c r="EI58" i="4" s="1"/>
  <c r="EI59" i="4" s="1"/>
  <c r="EI60" i="4" s="1"/>
  <c r="EI61" i="4" s="1"/>
  <c r="EI62" i="4" s="1"/>
  <c r="EI63" i="4" s="1"/>
  <c r="EI64" i="4" s="1"/>
  <c r="EI65" i="4" s="1"/>
  <c r="EI66" i="4" s="1"/>
  <c r="EI67" i="4" s="1"/>
  <c r="EI68" i="4" s="1"/>
  <c r="EI69" i="4" s="1"/>
  <c r="EI70" i="4" s="1"/>
  <c r="EI71" i="4" s="1"/>
  <c r="EI72" i="4" s="1"/>
  <c r="EI73" i="4" s="1"/>
  <c r="EI74" i="4" s="1"/>
  <c r="EI75" i="4" s="1"/>
  <c r="EI76" i="4" s="1"/>
  <c r="EI77" i="4" s="1"/>
  <c r="EI78" i="4" s="1"/>
  <c r="EI79" i="4" s="1"/>
  <c r="EI80" i="4" s="1"/>
  <c r="EI81" i="4" s="1"/>
  <c r="EI82" i="4" s="1"/>
  <c r="EI83" i="4" s="1"/>
  <c r="EI84" i="4" s="1"/>
  <c r="EI85" i="4" s="1"/>
  <c r="EI86" i="4" s="1"/>
  <c r="EI87" i="4" s="1"/>
  <c r="EI88" i="4" s="1"/>
  <c r="EI89" i="4" s="1"/>
  <c r="EI90" i="4" s="1"/>
  <c r="EI91" i="4" s="1"/>
  <c r="EI92" i="4" s="1"/>
  <c r="EI93" i="4" s="1"/>
  <c r="EI94" i="4" s="1"/>
  <c r="EI95" i="4" s="1"/>
  <c r="EI96" i="4" s="1"/>
  <c r="EI97" i="4" s="1"/>
  <c r="EI98" i="4" s="1"/>
  <c r="EI99" i="4" s="1"/>
  <c r="EI100" i="4" s="1"/>
  <c r="EI101" i="4" s="1"/>
  <c r="EI102" i="4" s="1"/>
  <c r="EI103" i="4" s="1"/>
  <c r="EI104" i="4" s="1"/>
  <c r="EI105" i="4" s="1"/>
  <c r="EI106" i="4" s="1"/>
  <c r="EI107" i="4" s="1"/>
  <c r="EI108" i="4" s="1"/>
  <c r="EI109" i="4" s="1"/>
  <c r="EI110" i="4" s="1"/>
  <c r="EI111" i="4" s="1"/>
  <c r="EI112" i="4" s="1"/>
  <c r="EI113" i="4" s="1"/>
  <c r="EI114" i="4" s="1"/>
  <c r="EI115" i="4" s="1"/>
  <c r="EI116" i="4" s="1"/>
  <c r="EI117" i="4" s="1"/>
  <c r="EI118" i="4" s="1"/>
  <c r="EI119" i="4" s="1"/>
  <c r="EI120" i="4" s="1"/>
  <c r="EI121" i="4" s="1"/>
  <c r="EI122" i="4" s="1"/>
  <c r="EI123" i="4" s="1"/>
  <c r="EI124" i="4" s="1"/>
  <c r="EI125" i="4" s="1"/>
  <c r="EI126" i="4" s="1"/>
  <c r="EI127" i="4" s="1"/>
  <c r="EI128" i="4" s="1"/>
  <c r="EI129" i="4" s="1"/>
  <c r="EI130" i="4" s="1"/>
  <c r="EI131" i="4" s="1"/>
  <c r="EI132" i="4" s="1"/>
  <c r="EI133" i="4" s="1"/>
  <c r="EI134" i="4" s="1"/>
  <c r="EI135" i="4" s="1"/>
  <c r="EI136" i="4" s="1"/>
  <c r="EI137" i="4" s="1"/>
  <c r="EI138" i="4" s="1"/>
  <c r="EI139" i="4" s="1"/>
  <c r="EI140" i="4" s="1"/>
  <c r="EI141" i="4" s="1"/>
  <c r="EI142" i="4" s="1"/>
  <c r="EI143" i="4" s="1"/>
  <c r="EI144" i="4" s="1"/>
  <c r="EI145" i="4" s="1"/>
  <c r="EI146" i="4" s="1"/>
  <c r="EI147" i="4" s="1"/>
  <c r="EI148" i="4" s="1"/>
  <c r="EI149" i="4" s="1"/>
  <c r="EI150" i="4" s="1"/>
  <c r="EI151" i="4" s="1"/>
  <c r="EI152" i="4" s="1"/>
  <c r="EI153" i="4" s="1"/>
  <c r="EI154" i="4" s="1"/>
  <c r="EI155" i="4" s="1"/>
  <c r="EI156" i="4" s="1"/>
  <c r="EI157" i="4" s="1"/>
  <c r="EI158" i="4" s="1"/>
  <c r="EI159" i="4" s="1"/>
  <c r="EI160" i="4" s="1"/>
  <c r="EI161" i="4" s="1"/>
  <c r="EI162" i="4" s="1"/>
  <c r="EI163" i="4" s="1"/>
  <c r="EI164" i="4" s="1"/>
  <c r="EI165" i="4" s="1"/>
  <c r="EI166" i="4" s="1"/>
  <c r="EI167" i="4" s="1"/>
  <c r="EI168" i="4" s="1"/>
  <c r="EI169" i="4" s="1"/>
  <c r="EI170" i="4" s="1"/>
  <c r="EI171" i="4" s="1"/>
  <c r="EI172" i="4" s="1"/>
  <c r="EI173" i="4" s="1"/>
  <c r="EI174" i="4" s="1"/>
  <c r="EI175" i="4" s="1"/>
  <c r="EI176" i="4" s="1"/>
  <c r="EI177" i="4" s="1"/>
  <c r="EI178" i="4" s="1"/>
  <c r="EI179" i="4" s="1"/>
  <c r="EI180" i="4" s="1"/>
  <c r="EI181" i="4" s="1"/>
  <c r="EI182" i="4" s="1"/>
  <c r="EI183" i="4" s="1"/>
  <c r="EI184" i="4" s="1"/>
  <c r="EI185" i="4" s="1"/>
  <c r="EI186" i="4" s="1"/>
  <c r="EI187" i="4" s="1"/>
  <c r="EI188" i="4" s="1"/>
  <c r="EI189" i="4" s="1"/>
  <c r="EI190" i="4" s="1"/>
  <c r="EI191" i="4" s="1"/>
  <c r="EI192" i="4" s="1"/>
  <c r="EI193" i="4" s="1"/>
  <c r="EI194" i="4" s="1"/>
  <c r="EI195" i="4" s="1"/>
  <c r="EI196" i="4" s="1"/>
  <c r="EI197" i="4" s="1"/>
  <c r="EI198" i="4" s="1"/>
  <c r="EI199" i="4" s="1"/>
  <c r="EI200" i="4" s="1"/>
  <c r="EI201" i="4" s="1"/>
  <c r="EI202" i="4" s="1"/>
  <c r="EH3" i="4"/>
  <c r="EH4" i="4" s="1"/>
  <c r="EH5" i="4" s="1"/>
  <c r="EH6" i="4" s="1"/>
  <c r="EH7" i="4" s="1"/>
  <c r="EH8" i="4" s="1"/>
  <c r="EH9" i="4" s="1"/>
  <c r="EH10" i="4" s="1"/>
  <c r="EH11" i="4" s="1"/>
  <c r="EH12" i="4" s="1"/>
  <c r="EH13" i="4" s="1"/>
  <c r="EH14" i="4" s="1"/>
  <c r="EH15" i="4" s="1"/>
  <c r="EH16" i="4" s="1"/>
  <c r="EH17" i="4" s="1"/>
  <c r="EH18" i="4" s="1"/>
  <c r="EH19" i="4" s="1"/>
  <c r="EH20" i="4" s="1"/>
  <c r="EH21" i="4" s="1"/>
  <c r="EH22" i="4" s="1"/>
  <c r="EH23" i="4" s="1"/>
  <c r="EH24" i="4" s="1"/>
  <c r="EH25" i="4" s="1"/>
  <c r="EH26" i="4" s="1"/>
  <c r="EH27" i="4" s="1"/>
  <c r="EH28" i="4" s="1"/>
  <c r="EH29" i="4" s="1"/>
  <c r="EH30" i="4" s="1"/>
  <c r="EH31" i="4" s="1"/>
  <c r="EH32" i="4" s="1"/>
  <c r="EH33" i="4" s="1"/>
  <c r="EH34" i="4" s="1"/>
  <c r="EH35" i="4" s="1"/>
  <c r="EH36" i="4" s="1"/>
  <c r="EH37" i="4" s="1"/>
  <c r="EH38" i="4" s="1"/>
  <c r="EH39" i="4" s="1"/>
  <c r="EH40" i="4" s="1"/>
  <c r="EH41" i="4" s="1"/>
  <c r="EH42" i="4" s="1"/>
  <c r="EH43" i="4" s="1"/>
  <c r="EH44" i="4" s="1"/>
  <c r="EH45" i="4" s="1"/>
  <c r="EH46" i="4" s="1"/>
  <c r="EH47" i="4" s="1"/>
  <c r="EH48" i="4" s="1"/>
  <c r="EH49" i="4" s="1"/>
  <c r="EH50" i="4" s="1"/>
  <c r="EH51" i="4" s="1"/>
  <c r="EH52" i="4" s="1"/>
  <c r="EH53" i="4" s="1"/>
  <c r="EH54" i="4" s="1"/>
  <c r="EH55" i="4" s="1"/>
  <c r="EH56" i="4" s="1"/>
  <c r="EH57" i="4" s="1"/>
  <c r="EH58" i="4" s="1"/>
  <c r="EH59" i="4" s="1"/>
  <c r="EH60" i="4" s="1"/>
  <c r="EH61" i="4" s="1"/>
  <c r="EH62" i="4" s="1"/>
  <c r="EH63" i="4" s="1"/>
  <c r="EH64" i="4" s="1"/>
  <c r="EH65" i="4" s="1"/>
  <c r="EH66" i="4" s="1"/>
  <c r="EH67" i="4" s="1"/>
  <c r="EH68" i="4" s="1"/>
  <c r="EH69" i="4" s="1"/>
  <c r="EH70" i="4" s="1"/>
  <c r="EH71" i="4" s="1"/>
  <c r="EH72" i="4" s="1"/>
  <c r="EH73" i="4" s="1"/>
  <c r="EH74" i="4" s="1"/>
  <c r="EH75" i="4" s="1"/>
  <c r="EH76" i="4" s="1"/>
  <c r="EH77" i="4" s="1"/>
  <c r="EH78" i="4" s="1"/>
  <c r="EH79" i="4" s="1"/>
  <c r="EH80" i="4" s="1"/>
  <c r="EH81" i="4" s="1"/>
  <c r="EH82" i="4" s="1"/>
  <c r="EH83" i="4" s="1"/>
  <c r="EH84" i="4" s="1"/>
  <c r="EH85" i="4" s="1"/>
  <c r="EH86" i="4" s="1"/>
  <c r="EH87" i="4" s="1"/>
  <c r="EH88" i="4" s="1"/>
  <c r="EH89" i="4" s="1"/>
  <c r="EH90" i="4" s="1"/>
  <c r="EH91" i="4" s="1"/>
  <c r="EH92" i="4" s="1"/>
  <c r="EH93" i="4" s="1"/>
  <c r="EH94" i="4" s="1"/>
  <c r="EH95" i="4" s="1"/>
  <c r="EH96" i="4" s="1"/>
  <c r="EH97" i="4" s="1"/>
  <c r="EH98" i="4" s="1"/>
  <c r="EH99" i="4" s="1"/>
  <c r="EH100" i="4" s="1"/>
  <c r="EH101" i="4" s="1"/>
  <c r="EH102" i="4" s="1"/>
  <c r="EH103" i="4" s="1"/>
  <c r="EH104" i="4" s="1"/>
  <c r="EH105" i="4" s="1"/>
  <c r="EH106" i="4" s="1"/>
  <c r="EH107" i="4" s="1"/>
  <c r="EH108" i="4" s="1"/>
  <c r="EH109" i="4" s="1"/>
  <c r="EH110" i="4" s="1"/>
  <c r="EH111" i="4" s="1"/>
  <c r="EH112" i="4" s="1"/>
  <c r="EH113" i="4" s="1"/>
  <c r="EH114" i="4" s="1"/>
  <c r="EH115" i="4" s="1"/>
  <c r="EH116" i="4" s="1"/>
  <c r="EH117" i="4" s="1"/>
  <c r="EH118" i="4" s="1"/>
  <c r="EH119" i="4" s="1"/>
  <c r="EH120" i="4" s="1"/>
  <c r="EH121" i="4" s="1"/>
  <c r="EH122" i="4" s="1"/>
  <c r="EH123" i="4" s="1"/>
  <c r="EH124" i="4" s="1"/>
  <c r="EH125" i="4" s="1"/>
  <c r="EH126" i="4" s="1"/>
  <c r="EH127" i="4" s="1"/>
  <c r="EH128" i="4" s="1"/>
  <c r="EH129" i="4" s="1"/>
  <c r="EH130" i="4" s="1"/>
  <c r="EH131" i="4" s="1"/>
  <c r="EH132" i="4" s="1"/>
  <c r="EH133" i="4" s="1"/>
  <c r="EH134" i="4" s="1"/>
  <c r="EH135" i="4" s="1"/>
  <c r="EH136" i="4" s="1"/>
  <c r="EH137" i="4" s="1"/>
  <c r="EH138" i="4" s="1"/>
  <c r="EH139" i="4" s="1"/>
  <c r="EH140" i="4" s="1"/>
  <c r="EH141" i="4" s="1"/>
  <c r="EH142" i="4" s="1"/>
  <c r="EH143" i="4" s="1"/>
  <c r="EH144" i="4" s="1"/>
  <c r="EH145" i="4" s="1"/>
  <c r="EH146" i="4" s="1"/>
  <c r="EH147" i="4" s="1"/>
  <c r="EH148" i="4" s="1"/>
  <c r="EH149" i="4" s="1"/>
  <c r="EH150" i="4" s="1"/>
  <c r="EH151" i="4" s="1"/>
  <c r="EH152" i="4" s="1"/>
  <c r="EH153" i="4" s="1"/>
  <c r="EH154" i="4" s="1"/>
  <c r="EH155" i="4" s="1"/>
  <c r="EH156" i="4" s="1"/>
  <c r="EH157" i="4" s="1"/>
  <c r="EH158" i="4" s="1"/>
  <c r="EH159" i="4" s="1"/>
  <c r="EH160" i="4" s="1"/>
  <c r="EH161" i="4" s="1"/>
  <c r="EH162" i="4" s="1"/>
  <c r="EH163" i="4" s="1"/>
  <c r="EH164" i="4" s="1"/>
  <c r="EH165" i="4" s="1"/>
  <c r="EH166" i="4" s="1"/>
  <c r="EH167" i="4" s="1"/>
  <c r="EH168" i="4" s="1"/>
  <c r="EH169" i="4" s="1"/>
  <c r="EH170" i="4" s="1"/>
  <c r="EH171" i="4" s="1"/>
  <c r="EH172" i="4" s="1"/>
  <c r="EH173" i="4" s="1"/>
  <c r="EH174" i="4" s="1"/>
  <c r="EH175" i="4" s="1"/>
  <c r="EH176" i="4" s="1"/>
  <c r="EH177" i="4" s="1"/>
  <c r="EH178" i="4" s="1"/>
  <c r="EH179" i="4" s="1"/>
  <c r="EH180" i="4" s="1"/>
  <c r="EH181" i="4" s="1"/>
  <c r="EH182" i="4" s="1"/>
  <c r="EH183" i="4" s="1"/>
  <c r="EH184" i="4" s="1"/>
  <c r="EH185" i="4" s="1"/>
  <c r="EH186" i="4" s="1"/>
  <c r="EH187" i="4" s="1"/>
  <c r="EH188" i="4" s="1"/>
  <c r="EH189" i="4" s="1"/>
  <c r="EH190" i="4" s="1"/>
  <c r="EH191" i="4" s="1"/>
  <c r="EH192" i="4" s="1"/>
  <c r="EH193" i="4" s="1"/>
  <c r="EH194" i="4" s="1"/>
  <c r="EH195" i="4" s="1"/>
  <c r="EH196" i="4" s="1"/>
  <c r="EH197" i="4" s="1"/>
  <c r="EH198" i="4" s="1"/>
  <c r="EH199" i="4" s="1"/>
  <c r="EH200" i="4" s="1"/>
  <c r="EH201" i="4" s="1"/>
  <c r="EH202" i="4" s="1"/>
  <c r="EG3" i="4"/>
  <c r="EG4" i="4" s="1"/>
  <c r="EG5" i="4" s="1"/>
  <c r="EG6" i="4" s="1"/>
  <c r="EG7" i="4" s="1"/>
  <c r="EG8" i="4" s="1"/>
  <c r="EG9" i="4" s="1"/>
  <c r="EG10" i="4" s="1"/>
  <c r="EG11" i="4" s="1"/>
  <c r="EG12" i="4" s="1"/>
  <c r="EG13" i="4" s="1"/>
  <c r="EG14" i="4" s="1"/>
  <c r="EG15" i="4" s="1"/>
  <c r="EG16" i="4" s="1"/>
  <c r="EG17" i="4" s="1"/>
  <c r="EG18" i="4" s="1"/>
  <c r="EG19" i="4" s="1"/>
  <c r="EG20" i="4" s="1"/>
  <c r="EG21" i="4" s="1"/>
  <c r="EG22" i="4" s="1"/>
  <c r="EG23" i="4" s="1"/>
  <c r="EG24" i="4" s="1"/>
  <c r="EG25" i="4" s="1"/>
  <c r="EG26" i="4" s="1"/>
  <c r="EG27" i="4" s="1"/>
  <c r="EG28" i="4" s="1"/>
  <c r="EG29" i="4" s="1"/>
  <c r="EG30" i="4" s="1"/>
  <c r="EG31" i="4" s="1"/>
  <c r="EG32" i="4" s="1"/>
  <c r="EG33" i="4" s="1"/>
  <c r="EG34" i="4" s="1"/>
  <c r="EG35" i="4" s="1"/>
  <c r="EG36" i="4" s="1"/>
  <c r="EG37" i="4" s="1"/>
  <c r="EG38" i="4" s="1"/>
  <c r="EG39" i="4" s="1"/>
  <c r="EG40" i="4" s="1"/>
  <c r="EG41" i="4" s="1"/>
  <c r="EG42" i="4" s="1"/>
  <c r="EG43" i="4" s="1"/>
  <c r="EG44" i="4" s="1"/>
  <c r="EG45" i="4" s="1"/>
  <c r="EG46" i="4" s="1"/>
  <c r="EG47" i="4" s="1"/>
  <c r="EG48" i="4" s="1"/>
  <c r="EG49" i="4" s="1"/>
  <c r="EG50" i="4" s="1"/>
  <c r="EG51" i="4" s="1"/>
  <c r="EG52" i="4" s="1"/>
  <c r="EG53" i="4" s="1"/>
  <c r="EG54" i="4" s="1"/>
  <c r="EG55" i="4" s="1"/>
  <c r="EG56" i="4" s="1"/>
  <c r="EG57" i="4" s="1"/>
  <c r="EG58" i="4" s="1"/>
  <c r="EG59" i="4" s="1"/>
  <c r="EG60" i="4" s="1"/>
  <c r="EG61" i="4" s="1"/>
  <c r="EG62" i="4" s="1"/>
  <c r="EG63" i="4" s="1"/>
  <c r="EG64" i="4" s="1"/>
  <c r="EG65" i="4" s="1"/>
  <c r="EG66" i="4" s="1"/>
  <c r="EG67" i="4" s="1"/>
  <c r="EG68" i="4" s="1"/>
  <c r="EG69" i="4" s="1"/>
  <c r="EG70" i="4" s="1"/>
  <c r="EG71" i="4" s="1"/>
  <c r="EG72" i="4" s="1"/>
  <c r="EG73" i="4" s="1"/>
  <c r="EG74" i="4" s="1"/>
  <c r="EG75" i="4" s="1"/>
  <c r="EG76" i="4" s="1"/>
  <c r="EG77" i="4" s="1"/>
  <c r="EG78" i="4" s="1"/>
  <c r="EG79" i="4" s="1"/>
  <c r="EG80" i="4" s="1"/>
  <c r="EG81" i="4" s="1"/>
  <c r="EG82" i="4" s="1"/>
  <c r="EG83" i="4" s="1"/>
  <c r="EG84" i="4" s="1"/>
  <c r="EG85" i="4" s="1"/>
  <c r="EG86" i="4" s="1"/>
  <c r="EG87" i="4" s="1"/>
  <c r="EG88" i="4" s="1"/>
  <c r="EG89" i="4" s="1"/>
  <c r="EG90" i="4" s="1"/>
  <c r="EG91" i="4" s="1"/>
  <c r="EG92" i="4" s="1"/>
  <c r="EG93" i="4" s="1"/>
  <c r="EG94" i="4" s="1"/>
  <c r="EG95" i="4" s="1"/>
  <c r="EG96" i="4" s="1"/>
  <c r="EG97" i="4" s="1"/>
  <c r="EG98" i="4" s="1"/>
  <c r="EG99" i="4" s="1"/>
  <c r="EG100" i="4" s="1"/>
  <c r="EG101" i="4" s="1"/>
  <c r="EG102" i="4" s="1"/>
  <c r="EG103" i="4" s="1"/>
  <c r="EG104" i="4" s="1"/>
  <c r="EG105" i="4" s="1"/>
  <c r="EG106" i="4" s="1"/>
  <c r="EG107" i="4" s="1"/>
  <c r="EG108" i="4" s="1"/>
  <c r="EG109" i="4" s="1"/>
  <c r="EG110" i="4" s="1"/>
  <c r="EG111" i="4" s="1"/>
  <c r="EG112" i="4" s="1"/>
  <c r="EG113" i="4" s="1"/>
  <c r="EG114" i="4" s="1"/>
  <c r="EG115" i="4" s="1"/>
  <c r="EG116" i="4" s="1"/>
  <c r="EG117" i="4" s="1"/>
  <c r="EG118" i="4" s="1"/>
  <c r="EG119" i="4" s="1"/>
  <c r="EG120" i="4" s="1"/>
  <c r="EG121" i="4" s="1"/>
  <c r="EG122" i="4" s="1"/>
  <c r="EG123" i="4" s="1"/>
  <c r="EG124" i="4" s="1"/>
  <c r="EG125" i="4" s="1"/>
  <c r="EG126" i="4" s="1"/>
  <c r="EG127" i="4" s="1"/>
  <c r="EG128" i="4" s="1"/>
  <c r="EG129" i="4" s="1"/>
  <c r="EG130" i="4" s="1"/>
  <c r="EG131" i="4" s="1"/>
  <c r="EG132" i="4" s="1"/>
  <c r="EG133" i="4" s="1"/>
  <c r="EG134" i="4" s="1"/>
  <c r="EG135" i="4" s="1"/>
  <c r="EG136" i="4" s="1"/>
  <c r="EG137" i="4" s="1"/>
  <c r="EG138" i="4" s="1"/>
  <c r="EG139" i="4" s="1"/>
  <c r="EG140" i="4" s="1"/>
  <c r="EG141" i="4" s="1"/>
  <c r="EG142" i="4" s="1"/>
  <c r="EG143" i="4" s="1"/>
  <c r="EG144" i="4" s="1"/>
  <c r="EG145" i="4" s="1"/>
  <c r="EG146" i="4" s="1"/>
  <c r="EG147" i="4" s="1"/>
  <c r="EG148" i="4" s="1"/>
  <c r="EG149" i="4" s="1"/>
  <c r="EG150" i="4" s="1"/>
  <c r="EG151" i="4" s="1"/>
  <c r="EG152" i="4" s="1"/>
  <c r="EG153" i="4" s="1"/>
  <c r="EG154" i="4" s="1"/>
  <c r="EG155" i="4" s="1"/>
  <c r="EG156" i="4" s="1"/>
  <c r="EG157" i="4" s="1"/>
  <c r="EG158" i="4" s="1"/>
  <c r="EG159" i="4" s="1"/>
  <c r="EG160" i="4" s="1"/>
  <c r="EG161" i="4" s="1"/>
  <c r="EG162" i="4" s="1"/>
  <c r="EG163" i="4" s="1"/>
  <c r="EG164" i="4" s="1"/>
  <c r="EG165" i="4" s="1"/>
  <c r="EG166" i="4" s="1"/>
  <c r="EG167" i="4" s="1"/>
  <c r="EG168" i="4" s="1"/>
  <c r="EG169" i="4" s="1"/>
  <c r="EG170" i="4" s="1"/>
  <c r="EG171" i="4" s="1"/>
  <c r="EG172" i="4" s="1"/>
  <c r="EG173" i="4" s="1"/>
  <c r="EG174" i="4" s="1"/>
  <c r="EG175" i="4" s="1"/>
  <c r="EG176" i="4" s="1"/>
  <c r="EG177" i="4" s="1"/>
  <c r="EG178" i="4" s="1"/>
  <c r="EG179" i="4" s="1"/>
  <c r="EG180" i="4" s="1"/>
  <c r="EG181" i="4" s="1"/>
  <c r="EG182" i="4" s="1"/>
  <c r="EG183" i="4" s="1"/>
  <c r="EG184" i="4" s="1"/>
  <c r="EG185" i="4" s="1"/>
  <c r="EG186" i="4" s="1"/>
  <c r="EG187" i="4" s="1"/>
  <c r="EG188" i="4" s="1"/>
  <c r="EG189" i="4" s="1"/>
  <c r="EG190" i="4" s="1"/>
  <c r="EG191" i="4" s="1"/>
  <c r="EG192" i="4" s="1"/>
  <c r="EG193" i="4" s="1"/>
  <c r="EG194" i="4" s="1"/>
  <c r="EG195" i="4" s="1"/>
  <c r="EG196" i="4" s="1"/>
  <c r="EG197" i="4" s="1"/>
  <c r="EG198" i="4" s="1"/>
  <c r="EG199" i="4" s="1"/>
  <c r="EG200" i="4" s="1"/>
  <c r="EG201" i="4" s="1"/>
  <c r="EG202" i="4" s="1"/>
  <c r="EF3" i="4"/>
  <c r="EF4" i="4" s="1"/>
  <c r="EF5" i="4" s="1"/>
  <c r="EF6" i="4" s="1"/>
  <c r="EF7" i="4" s="1"/>
  <c r="EF8" i="4" s="1"/>
  <c r="EF9" i="4" s="1"/>
  <c r="EF10" i="4" s="1"/>
  <c r="EF11" i="4" s="1"/>
  <c r="EF12" i="4" s="1"/>
  <c r="EF13" i="4" s="1"/>
  <c r="EF14" i="4" s="1"/>
  <c r="EF15" i="4" s="1"/>
  <c r="EF16" i="4" s="1"/>
  <c r="EF17" i="4" s="1"/>
  <c r="EF18" i="4" s="1"/>
  <c r="EF19" i="4" s="1"/>
  <c r="EF20" i="4" s="1"/>
  <c r="EF21" i="4" s="1"/>
  <c r="EF22" i="4" s="1"/>
  <c r="EF23" i="4" s="1"/>
  <c r="EF24" i="4" s="1"/>
  <c r="EF25" i="4" s="1"/>
  <c r="EF26" i="4" s="1"/>
  <c r="EF27" i="4" s="1"/>
  <c r="EF28" i="4" s="1"/>
  <c r="EF29" i="4" s="1"/>
  <c r="EF30" i="4" s="1"/>
  <c r="EF31" i="4" s="1"/>
  <c r="EF32" i="4" s="1"/>
  <c r="EF33" i="4" s="1"/>
  <c r="EF34" i="4" s="1"/>
  <c r="EF35" i="4" s="1"/>
  <c r="EF36" i="4" s="1"/>
  <c r="EF37" i="4" s="1"/>
  <c r="EF38" i="4" s="1"/>
  <c r="EF39" i="4" s="1"/>
  <c r="EF40" i="4" s="1"/>
  <c r="EF41" i="4" s="1"/>
  <c r="EF42" i="4" s="1"/>
  <c r="EF43" i="4" s="1"/>
  <c r="EF44" i="4" s="1"/>
  <c r="EF45" i="4" s="1"/>
  <c r="EF46" i="4" s="1"/>
  <c r="EF47" i="4" s="1"/>
  <c r="EF48" i="4" s="1"/>
  <c r="EF49" i="4" s="1"/>
  <c r="EF50" i="4" s="1"/>
  <c r="EF51" i="4" s="1"/>
  <c r="EF52" i="4" s="1"/>
  <c r="EF53" i="4" s="1"/>
  <c r="EF54" i="4" s="1"/>
  <c r="EF55" i="4" s="1"/>
  <c r="EF56" i="4" s="1"/>
  <c r="EF57" i="4" s="1"/>
  <c r="EF58" i="4" s="1"/>
  <c r="EF59" i="4" s="1"/>
  <c r="EF60" i="4" s="1"/>
  <c r="EF61" i="4" s="1"/>
  <c r="EF62" i="4" s="1"/>
  <c r="EF63" i="4" s="1"/>
  <c r="EF64" i="4" s="1"/>
  <c r="EF65" i="4" s="1"/>
  <c r="EF66" i="4" s="1"/>
  <c r="EF67" i="4" s="1"/>
  <c r="EF68" i="4" s="1"/>
  <c r="EF69" i="4" s="1"/>
  <c r="EF70" i="4" s="1"/>
  <c r="EF71" i="4" s="1"/>
  <c r="EF72" i="4" s="1"/>
  <c r="EF73" i="4" s="1"/>
  <c r="EF74" i="4" s="1"/>
  <c r="EF75" i="4" s="1"/>
  <c r="EF76" i="4" s="1"/>
  <c r="EF77" i="4" s="1"/>
  <c r="EF78" i="4" s="1"/>
  <c r="EF79" i="4" s="1"/>
  <c r="EF80" i="4" s="1"/>
  <c r="EF81" i="4" s="1"/>
  <c r="EF82" i="4" s="1"/>
  <c r="EF83" i="4" s="1"/>
  <c r="EF84" i="4" s="1"/>
  <c r="EF85" i="4" s="1"/>
  <c r="EF86" i="4" s="1"/>
  <c r="EF87" i="4" s="1"/>
  <c r="EF88" i="4" s="1"/>
  <c r="EF89" i="4" s="1"/>
  <c r="EF90" i="4" s="1"/>
  <c r="EF91" i="4" s="1"/>
  <c r="EF92" i="4" s="1"/>
  <c r="EF93" i="4" s="1"/>
  <c r="EF94" i="4" s="1"/>
  <c r="EF95" i="4" s="1"/>
  <c r="EF96" i="4" s="1"/>
  <c r="EF97" i="4" s="1"/>
  <c r="EF98" i="4" s="1"/>
  <c r="EF99" i="4" s="1"/>
  <c r="EF100" i="4" s="1"/>
  <c r="EF101" i="4" s="1"/>
  <c r="EF102" i="4" s="1"/>
  <c r="EF103" i="4" s="1"/>
  <c r="EF104" i="4" s="1"/>
  <c r="EF105" i="4" s="1"/>
  <c r="EF106" i="4" s="1"/>
  <c r="EF107" i="4" s="1"/>
  <c r="EF108" i="4" s="1"/>
  <c r="EF109" i="4" s="1"/>
  <c r="EF110" i="4" s="1"/>
  <c r="EF111" i="4" s="1"/>
  <c r="EF112" i="4" s="1"/>
  <c r="EF113" i="4" s="1"/>
  <c r="EF114" i="4" s="1"/>
  <c r="EF115" i="4" s="1"/>
  <c r="EF116" i="4" s="1"/>
  <c r="EF117" i="4" s="1"/>
  <c r="EF118" i="4" s="1"/>
  <c r="EF119" i="4" s="1"/>
  <c r="EF120" i="4" s="1"/>
  <c r="EF121" i="4" s="1"/>
  <c r="EF122" i="4" s="1"/>
  <c r="EF123" i="4" s="1"/>
  <c r="EF124" i="4" s="1"/>
  <c r="EF125" i="4" s="1"/>
  <c r="EF126" i="4" s="1"/>
  <c r="EF127" i="4" s="1"/>
  <c r="EF128" i="4" s="1"/>
  <c r="EF129" i="4" s="1"/>
  <c r="EF130" i="4" s="1"/>
  <c r="EF131" i="4" s="1"/>
  <c r="EF132" i="4" s="1"/>
  <c r="EF133" i="4" s="1"/>
  <c r="EF134" i="4" s="1"/>
  <c r="EF135" i="4" s="1"/>
  <c r="EF136" i="4" s="1"/>
  <c r="EF137" i="4" s="1"/>
  <c r="EF138" i="4" s="1"/>
  <c r="EF139" i="4" s="1"/>
  <c r="EF140" i="4" s="1"/>
  <c r="EF141" i="4" s="1"/>
  <c r="EF142" i="4" s="1"/>
  <c r="EF143" i="4" s="1"/>
  <c r="EF144" i="4" s="1"/>
  <c r="EF145" i="4" s="1"/>
  <c r="EF146" i="4" s="1"/>
  <c r="EF147" i="4" s="1"/>
  <c r="EF148" i="4" s="1"/>
  <c r="EF149" i="4" s="1"/>
  <c r="EF150" i="4" s="1"/>
  <c r="EF151" i="4" s="1"/>
  <c r="EF152" i="4" s="1"/>
  <c r="EF153" i="4" s="1"/>
  <c r="EF154" i="4" s="1"/>
  <c r="EF155" i="4" s="1"/>
  <c r="EF156" i="4" s="1"/>
  <c r="EF157" i="4" s="1"/>
  <c r="EF158" i="4" s="1"/>
  <c r="EF159" i="4" s="1"/>
  <c r="EF160" i="4" s="1"/>
  <c r="EF161" i="4" s="1"/>
  <c r="EF162" i="4" s="1"/>
  <c r="EF163" i="4" s="1"/>
  <c r="EF164" i="4" s="1"/>
  <c r="EF165" i="4" s="1"/>
  <c r="EF166" i="4" s="1"/>
  <c r="EF167" i="4" s="1"/>
  <c r="EF168" i="4" s="1"/>
  <c r="EF169" i="4" s="1"/>
  <c r="EF170" i="4" s="1"/>
  <c r="EF171" i="4" s="1"/>
  <c r="EF172" i="4" s="1"/>
  <c r="EF173" i="4" s="1"/>
  <c r="EF174" i="4" s="1"/>
  <c r="EF175" i="4" s="1"/>
  <c r="EF176" i="4" s="1"/>
  <c r="EF177" i="4" s="1"/>
  <c r="EF178" i="4" s="1"/>
  <c r="EF179" i="4" s="1"/>
  <c r="EF180" i="4" s="1"/>
  <c r="EF181" i="4" s="1"/>
  <c r="EF182" i="4" s="1"/>
  <c r="EF183" i="4" s="1"/>
  <c r="EF184" i="4" s="1"/>
  <c r="EF185" i="4" s="1"/>
  <c r="EF186" i="4" s="1"/>
  <c r="EF187" i="4" s="1"/>
  <c r="EF188" i="4" s="1"/>
  <c r="EF189" i="4" s="1"/>
  <c r="EF190" i="4" s="1"/>
  <c r="EF191" i="4" s="1"/>
  <c r="EF192" i="4" s="1"/>
  <c r="EF193" i="4" s="1"/>
  <c r="EF194" i="4" s="1"/>
  <c r="EF195" i="4" s="1"/>
  <c r="EF196" i="4" s="1"/>
  <c r="EF197" i="4" s="1"/>
  <c r="EF198" i="4" s="1"/>
  <c r="EF199" i="4" s="1"/>
  <c r="EF200" i="4" s="1"/>
  <c r="EF201" i="4" s="1"/>
  <c r="EF202" i="4" s="1"/>
  <c r="EE3" i="4"/>
  <c r="EE4" i="4" s="1"/>
  <c r="EE5" i="4" s="1"/>
  <c r="EE6" i="4" s="1"/>
  <c r="EE7" i="4" s="1"/>
  <c r="EE8" i="4" s="1"/>
  <c r="EE9" i="4" s="1"/>
  <c r="EE10" i="4" s="1"/>
  <c r="EE11" i="4" s="1"/>
  <c r="EE12" i="4" s="1"/>
  <c r="EE13" i="4" s="1"/>
  <c r="EE14" i="4" s="1"/>
  <c r="EE15" i="4" s="1"/>
  <c r="EE16" i="4" s="1"/>
  <c r="EE17" i="4" s="1"/>
  <c r="EE18" i="4" s="1"/>
  <c r="EE19" i="4" s="1"/>
  <c r="EE20" i="4" s="1"/>
  <c r="EE21" i="4" s="1"/>
  <c r="EE22" i="4" s="1"/>
  <c r="EE23" i="4" s="1"/>
  <c r="EE24" i="4" s="1"/>
  <c r="EE25" i="4" s="1"/>
  <c r="EE26" i="4" s="1"/>
  <c r="EE27" i="4" s="1"/>
  <c r="EE28" i="4" s="1"/>
  <c r="EE29" i="4" s="1"/>
  <c r="EE30" i="4" s="1"/>
  <c r="EE31" i="4" s="1"/>
  <c r="EE32" i="4" s="1"/>
  <c r="EE33" i="4" s="1"/>
  <c r="EE34" i="4" s="1"/>
  <c r="EE35" i="4" s="1"/>
  <c r="EE36" i="4" s="1"/>
  <c r="EE37" i="4" s="1"/>
  <c r="EE38" i="4" s="1"/>
  <c r="EE39" i="4" s="1"/>
  <c r="EE40" i="4" s="1"/>
  <c r="EE41" i="4" s="1"/>
  <c r="EE42" i="4" s="1"/>
  <c r="EE43" i="4" s="1"/>
  <c r="EE44" i="4" s="1"/>
  <c r="EE45" i="4" s="1"/>
  <c r="EE46" i="4" s="1"/>
  <c r="EE47" i="4" s="1"/>
  <c r="EE48" i="4" s="1"/>
  <c r="EE49" i="4" s="1"/>
  <c r="EE50" i="4" s="1"/>
  <c r="EE51" i="4" s="1"/>
  <c r="EE52" i="4" s="1"/>
  <c r="EE53" i="4" s="1"/>
  <c r="EE54" i="4" s="1"/>
  <c r="EE55" i="4" s="1"/>
  <c r="EE56" i="4" s="1"/>
  <c r="EE57" i="4" s="1"/>
  <c r="EE58" i="4" s="1"/>
  <c r="EE59" i="4" s="1"/>
  <c r="EE60" i="4" s="1"/>
  <c r="EE61" i="4" s="1"/>
  <c r="EE62" i="4" s="1"/>
  <c r="EE63" i="4" s="1"/>
  <c r="EE64" i="4" s="1"/>
  <c r="EE65" i="4" s="1"/>
  <c r="EE66" i="4" s="1"/>
  <c r="EE67" i="4" s="1"/>
  <c r="EE68" i="4" s="1"/>
  <c r="EE69" i="4" s="1"/>
  <c r="EE70" i="4" s="1"/>
  <c r="EE71" i="4" s="1"/>
  <c r="EE72" i="4" s="1"/>
  <c r="EE73" i="4" s="1"/>
  <c r="EE74" i="4" s="1"/>
  <c r="EE75" i="4" s="1"/>
  <c r="EE76" i="4" s="1"/>
  <c r="EE77" i="4" s="1"/>
  <c r="EE78" i="4" s="1"/>
  <c r="EE79" i="4" s="1"/>
  <c r="EE80" i="4" s="1"/>
  <c r="EE81" i="4" s="1"/>
  <c r="EE82" i="4" s="1"/>
  <c r="EE83" i="4" s="1"/>
  <c r="EE84" i="4" s="1"/>
  <c r="EE85" i="4" s="1"/>
  <c r="EE86" i="4" s="1"/>
  <c r="EE87" i="4" s="1"/>
  <c r="EE88" i="4" s="1"/>
  <c r="EE89" i="4" s="1"/>
  <c r="EE90" i="4" s="1"/>
  <c r="EE91" i="4" s="1"/>
  <c r="EE92" i="4" s="1"/>
  <c r="EE93" i="4" s="1"/>
  <c r="EE94" i="4" s="1"/>
  <c r="EE95" i="4" s="1"/>
  <c r="EE96" i="4" s="1"/>
  <c r="EE97" i="4" s="1"/>
  <c r="EE98" i="4" s="1"/>
  <c r="EE99" i="4" s="1"/>
  <c r="EE100" i="4" s="1"/>
  <c r="EE101" i="4" s="1"/>
  <c r="EE102" i="4" s="1"/>
  <c r="EE103" i="4" s="1"/>
  <c r="EE104" i="4" s="1"/>
  <c r="EE105" i="4" s="1"/>
  <c r="EE106" i="4" s="1"/>
  <c r="EE107" i="4" s="1"/>
  <c r="EE108" i="4" s="1"/>
  <c r="EE109" i="4" s="1"/>
  <c r="EE110" i="4" s="1"/>
  <c r="EE111" i="4" s="1"/>
  <c r="EE112" i="4" s="1"/>
  <c r="EE113" i="4" s="1"/>
  <c r="EE114" i="4" s="1"/>
  <c r="EE115" i="4" s="1"/>
  <c r="EE116" i="4" s="1"/>
  <c r="EE117" i="4" s="1"/>
  <c r="EE118" i="4" s="1"/>
  <c r="EE119" i="4" s="1"/>
  <c r="EE120" i="4" s="1"/>
  <c r="EE121" i="4" s="1"/>
  <c r="EE122" i="4" s="1"/>
  <c r="EE123" i="4" s="1"/>
  <c r="EE124" i="4" s="1"/>
  <c r="EE125" i="4" s="1"/>
  <c r="EE126" i="4" s="1"/>
  <c r="EE127" i="4" s="1"/>
  <c r="EE128" i="4" s="1"/>
  <c r="EE129" i="4" s="1"/>
  <c r="EE130" i="4" s="1"/>
  <c r="EE131" i="4" s="1"/>
  <c r="EE132" i="4" s="1"/>
  <c r="EE133" i="4" s="1"/>
  <c r="EE134" i="4" s="1"/>
  <c r="EE135" i="4" s="1"/>
  <c r="EE136" i="4" s="1"/>
  <c r="EE137" i="4" s="1"/>
  <c r="EE138" i="4" s="1"/>
  <c r="EE139" i="4" s="1"/>
  <c r="EE140" i="4" s="1"/>
  <c r="EE141" i="4" s="1"/>
  <c r="EE142" i="4" s="1"/>
  <c r="EE143" i="4" s="1"/>
  <c r="EE144" i="4" s="1"/>
  <c r="EE145" i="4" s="1"/>
  <c r="EE146" i="4" s="1"/>
  <c r="EE147" i="4" s="1"/>
  <c r="EE148" i="4" s="1"/>
  <c r="EE149" i="4" s="1"/>
  <c r="EE150" i="4" s="1"/>
  <c r="EE151" i="4" s="1"/>
  <c r="EE152" i="4" s="1"/>
  <c r="EE153" i="4" s="1"/>
  <c r="EE154" i="4" s="1"/>
  <c r="EE155" i="4" s="1"/>
  <c r="EE156" i="4" s="1"/>
  <c r="EE157" i="4" s="1"/>
  <c r="EE158" i="4" s="1"/>
  <c r="EE159" i="4" s="1"/>
  <c r="EE160" i="4" s="1"/>
  <c r="EE161" i="4" s="1"/>
  <c r="EE162" i="4" s="1"/>
  <c r="EE163" i="4" s="1"/>
  <c r="EE164" i="4" s="1"/>
  <c r="EE165" i="4" s="1"/>
  <c r="EE166" i="4" s="1"/>
  <c r="EE167" i="4" s="1"/>
  <c r="EE168" i="4" s="1"/>
  <c r="EE169" i="4" s="1"/>
  <c r="EE170" i="4" s="1"/>
  <c r="EE171" i="4" s="1"/>
  <c r="EE172" i="4" s="1"/>
  <c r="EE173" i="4" s="1"/>
  <c r="EE174" i="4" s="1"/>
  <c r="EE175" i="4" s="1"/>
  <c r="EE176" i="4" s="1"/>
  <c r="EE177" i="4" s="1"/>
  <c r="EE178" i="4" s="1"/>
  <c r="EE179" i="4" s="1"/>
  <c r="EE180" i="4" s="1"/>
  <c r="EE181" i="4" s="1"/>
  <c r="EE182" i="4" s="1"/>
  <c r="EE183" i="4" s="1"/>
  <c r="EE184" i="4" s="1"/>
  <c r="EE185" i="4" s="1"/>
  <c r="EE186" i="4" s="1"/>
  <c r="EE187" i="4" s="1"/>
  <c r="EE188" i="4" s="1"/>
  <c r="EE189" i="4" s="1"/>
  <c r="EE190" i="4" s="1"/>
  <c r="EE191" i="4" s="1"/>
  <c r="EE192" i="4" s="1"/>
  <c r="EE193" i="4" s="1"/>
  <c r="EE194" i="4" s="1"/>
  <c r="EE195" i="4" s="1"/>
  <c r="EE196" i="4" s="1"/>
  <c r="EE197" i="4" s="1"/>
  <c r="EE198" i="4" s="1"/>
  <c r="EE199" i="4" s="1"/>
  <c r="EE200" i="4" s="1"/>
  <c r="EE201" i="4" s="1"/>
  <c r="EE202" i="4" s="1"/>
  <c r="ED3" i="4"/>
  <c r="ED4" i="4" s="1"/>
  <c r="ED5" i="4" s="1"/>
  <c r="ED6" i="4" s="1"/>
  <c r="ED7" i="4" s="1"/>
  <c r="ED8" i="4" s="1"/>
  <c r="ED9" i="4" s="1"/>
  <c r="ED10" i="4" s="1"/>
  <c r="ED11" i="4" s="1"/>
  <c r="ED12" i="4" s="1"/>
  <c r="ED13" i="4" s="1"/>
  <c r="ED14" i="4" s="1"/>
  <c r="ED15" i="4" s="1"/>
  <c r="ED16" i="4" s="1"/>
  <c r="ED17" i="4" s="1"/>
  <c r="ED18" i="4" s="1"/>
  <c r="ED19" i="4" s="1"/>
  <c r="ED20" i="4" s="1"/>
  <c r="ED21" i="4" s="1"/>
  <c r="ED22" i="4" s="1"/>
  <c r="ED23" i="4" s="1"/>
  <c r="ED24" i="4" s="1"/>
  <c r="ED25" i="4" s="1"/>
  <c r="ED26" i="4" s="1"/>
  <c r="ED27" i="4" s="1"/>
  <c r="ED28" i="4" s="1"/>
  <c r="ED29" i="4" s="1"/>
  <c r="ED30" i="4" s="1"/>
  <c r="ED31" i="4" s="1"/>
  <c r="ED32" i="4" s="1"/>
  <c r="ED33" i="4" s="1"/>
  <c r="ED34" i="4" s="1"/>
  <c r="ED35" i="4" s="1"/>
  <c r="ED36" i="4" s="1"/>
  <c r="ED37" i="4" s="1"/>
  <c r="ED38" i="4" s="1"/>
  <c r="ED39" i="4" s="1"/>
  <c r="ED40" i="4" s="1"/>
  <c r="ED41" i="4" s="1"/>
  <c r="ED42" i="4" s="1"/>
  <c r="ED43" i="4" s="1"/>
  <c r="ED44" i="4" s="1"/>
  <c r="ED45" i="4" s="1"/>
  <c r="ED46" i="4" s="1"/>
  <c r="ED47" i="4" s="1"/>
  <c r="ED48" i="4" s="1"/>
  <c r="ED49" i="4" s="1"/>
  <c r="ED50" i="4" s="1"/>
  <c r="ED51" i="4" s="1"/>
  <c r="ED52" i="4" s="1"/>
  <c r="ED53" i="4" s="1"/>
  <c r="ED54" i="4" s="1"/>
  <c r="ED55" i="4" s="1"/>
  <c r="ED56" i="4" s="1"/>
  <c r="ED57" i="4" s="1"/>
  <c r="ED58" i="4" s="1"/>
  <c r="ED59" i="4" s="1"/>
  <c r="ED60" i="4" s="1"/>
  <c r="ED61" i="4" s="1"/>
  <c r="ED62" i="4" s="1"/>
  <c r="ED63" i="4" s="1"/>
  <c r="ED64" i="4" s="1"/>
  <c r="ED65" i="4" s="1"/>
  <c r="ED66" i="4" s="1"/>
  <c r="ED67" i="4" s="1"/>
  <c r="ED68" i="4" s="1"/>
  <c r="ED69" i="4" s="1"/>
  <c r="ED70" i="4" s="1"/>
  <c r="ED71" i="4" s="1"/>
  <c r="ED72" i="4" s="1"/>
  <c r="ED73" i="4" s="1"/>
  <c r="ED74" i="4" s="1"/>
  <c r="ED75" i="4" s="1"/>
  <c r="ED76" i="4" s="1"/>
  <c r="ED77" i="4" s="1"/>
  <c r="ED78" i="4" s="1"/>
  <c r="ED79" i="4" s="1"/>
  <c r="ED80" i="4" s="1"/>
  <c r="ED81" i="4" s="1"/>
  <c r="ED82" i="4" s="1"/>
  <c r="ED83" i="4" s="1"/>
  <c r="ED84" i="4" s="1"/>
  <c r="ED85" i="4" s="1"/>
  <c r="ED86" i="4" s="1"/>
  <c r="ED87" i="4" s="1"/>
  <c r="ED88" i="4" s="1"/>
  <c r="ED89" i="4" s="1"/>
  <c r="ED90" i="4" s="1"/>
  <c r="ED91" i="4" s="1"/>
  <c r="ED92" i="4" s="1"/>
  <c r="ED93" i="4" s="1"/>
  <c r="ED94" i="4" s="1"/>
  <c r="ED95" i="4" s="1"/>
  <c r="ED96" i="4" s="1"/>
  <c r="ED97" i="4" s="1"/>
  <c r="ED98" i="4" s="1"/>
  <c r="ED99" i="4" s="1"/>
  <c r="ED100" i="4" s="1"/>
  <c r="ED101" i="4" s="1"/>
  <c r="ED102" i="4" s="1"/>
  <c r="ED103" i="4" s="1"/>
  <c r="ED104" i="4" s="1"/>
  <c r="ED105" i="4" s="1"/>
  <c r="ED106" i="4" s="1"/>
  <c r="ED107" i="4" s="1"/>
  <c r="ED108" i="4" s="1"/>
  <c r="ED109" i="4" s="1"/>
  <c r="ED110" i="4" s="1"/>
  <c r="ED111" i="4" s="1"/>
  <c r="ED112" i="4" s="1"/>
  <c r="ED113" i="4" s="1"/>
  <c r="ED114" i="4" s="1"/>
  <c r="ED115" i="4" s="1"/>
  <c r="ED116" i="4" s="1"/>
  <c r="ED117" i="4" s="1"/>
  <c r="ED118" i="4" s="1"/>
  <c r="ED119" i="4" s="1"/>
  <c r="ED120" i="4" s="1"/>
  <c r="ED121" i="4" s="1"/>
  <c r="ED122" i="4" s="1"/>
  <c r="ED123" i="4" s="1"/>
  <c r="ED124" i="4" s="1"/>
  <c r="ED125" i="4" s="1"/>
  <c r="ED126" i="4" s="1"/>
  <c r="ED127" i="4" s="1"/>
  <c r="ED128" i="4" s="1"/>
  <c r="ED129" i="4" s="1"/>
  <c r="ED130" i="4" s="1"/>
  <c r="ED131" i="4" s="1"/>
  <c r="ED132" i="4" s="1"/>
  <c r="ED133" i="4" s="1"/>
  <c r="ED134" i="4" s="1"/>
  <c r="ED135" i="4" s="1"/>
  <c r="ED136" i="4" s="1"/>
  <c r="ED137" i="4" s="1"/>
  <c r="ED138" i="4" s="1"/>
  <c r="ED139" i="4" s="1"/>
  <c r="ED140" i="4" s="1"/>
  <c r="ED141" i="4" s="1"/>
  <c r="ED142" i="4" s="1"/>
  <c r="ED143" i="4" s="1"/>
  <c r="ED144" i="4" s="1"/>
  <c r="ED145" i="4" s="1"/>
  <c r="ED146" i="4" s="1"/>
  <c r="ED147" i="4" s="1"/>
  <c r="ED148" i="4" s="1"/>
  <c r="ED149" i="4" s="1"/>
  <c r="ED150" i="4" s="1"/>
  <c r="ED151" i="4" s="1"/>
  <c r="ED152" i="4" s="1"/>
  <c r="ED153" i="4" s="1"/>
  <c r="ED154" i="4" s="1"/>
  <c r="ED155" i="4" s="1"/>
  <c r="ED156" i="4" s="1"/>
  <c r="ED157" i="4" s="1"/>
  <c r="ED158" i="4" s="1"/>
  <c r="ED159" i="4" s="1"/>
  <c r="ED160" i="4" s="1"/>
  <c r="ED161" i="4" s="1"/>
  <c r="ED162" i="4" s="1"/>
  <c r="ED163" i="4" s="1"/>
  <c r="ED164" i="4" s="1"/>
  <c r="ED165" i="4" s="1"/>
  <c r="ED166" i="4" s="1"/>
  <c r="ED167" i="4" s="1"/>
  <c r="ED168" i="4" s="1"/>
  <c r="ED169" i="4" s="1"/>
  <c r="ED170" i="4" s="1"/>
  <c r="ED171" i="4" s="1"/>
  <c r="ED172" i="4" s="1"/>
  <c r="ED173" i="4" s="1"/>
  <c r="ED174" i="4" s="1"/>
  <c r="ED175" i="4" s="1"/>
  <c r="ED176" i="4" s="1"/>
  <c r="ED177" i="4" s="1"/>
  <c r="ED178" i="4" s="1"/>
  <c r="ED179" i="4" s="1"/>
  <c r="ED180" i="4" s="1"/>
  <c r="ED181" i="4" s="1"/>
  <c r="ED182" i="4" s="1"/>
  <c r="ED183" i="4" s="1"/>
  <c r="ED184" i="4" s="1"/>
  <c r="ED185" i="4" s="1"/>
  <c r="ED186" i="4" s="1"/>
  <c r="ED187" i="4" s="1"/>
  <c r="ED188" i="4" s="1"/>
  <c r="ED189" i="4" s="1"/>
  <c r="ED190" i="4" s="1"/>
  <c r="ED191" i="4" s="1"/>
  <c r="ED192" i="4" s="1"/>
  <c r="ED193" i="4" s="1"/>
  <c r="ED194" i="4" s="1"/>
  <c r="ED195" i="4" s="1"/>
  <c r="ED196" i="4" s="1"/>
  <c r="ED197" i="4" s="1"/>
  <c r="ED198" i="4" s="1"/>
  <c r="ED199" i="4" s="1"/>
  <c r="ED200" i="4" s="1"/>
  <c r="ED201" i="4" s="1"/>
  <c r="ED202" i="4" s="1"/>
  <c r="EC3" i="4"/>
  <c r="EC4" i="4" s="1"/>
  <c r="EC5" i="4" s="1"/>
  <c r="EC6" i="4" s="1"/>
  <c r="EC7" i="4" s="1"/>
  <c r="EC8" i="4" s="1"/>
  <c r="EC9" i="4" s="1"/>
  <c r="EC10" i="4" s="1"/>
  <c r="EC11" i="4" s="1"/>
  <c r="EC12" i="4" s="1"/>
  <c r="EC13" i="4" s="1"/>
  <c r="EC14" i="4" s="1"/>
  <c r="EC15" i="4" s="1"/>
  <c r="EC16" i="4" s="1"/>
  <c r="EC17" i="4" s="1"/>
  <c r="EC18" i="4" s="1"/>
  <c r="EC19" i="4" s="1"/>
  <c r="EC20" i="4" s="1"/>
  <c r="EC21" i="4" s="1"/>
  <c r="EC22" i="4" s="1"/>
  <c r="EC23" i="4" s="1"/>
  <c r="EC24" i="4" s="1"/>
  <c r="EC25" i="4" s="1"/>
  <c r="EC26" i="4" s="1"/>
  <c r="EC27" i="4" s="1"/>
  <c r="EC28" i="4" s="1"/>
  <c r="EC29" i="4" s="1"/>
  <c r="EC30" i="4" s="1"/>
  <c r="EC31" i="4" s="1"/>
  <c r="EC32" i="4" s="1"/>
  <c r="EC33" i="4" s="1"/>
  <c r="EC34" i="4" s="1"/>
  <c r="EC35" i="4" s="1"/>
  <c r="EC36" i="4" s="1"/>
  <c r="EC37" i="4" s="1"/>
  <c r="EC38" i="4" s="1"/>
  <c r="EC39" i="4" s="1"/>
  <c r="EC40" i="4" s="1"/>
  <c r="EC41" i="4" s="1"/>
  <c r="EC42" i="4" s="1"/>
  <c r="EC43" i="4" s="1"/>
  <c r="EC44" i="4" s="1"/>
  <c r="EC45" i="4" s="1"/>
  <c r="EC46" i="4" s="1"/>
  <c r="EC47" i="4" s="1"/>
  <c r="EC48" i="4" s="1"/>
  <c r="EC49" i="4" s="1"/>
  <c r="EC50" i="4" s="1"/>
  <c r="EC51" i="4" s="1"/>
  <c r="EC52" i="4" s="1"/>
  <c r="EC53" i="4" s="1"/>
  <c r="EC54" i="4" s="1"/>
  <c r="EC55" i="4" s="1"/>
  <c r="EC56" i="4" s="1"/>
  <c r="EC57" i="4" s="1"/>
  <c r="EC58" i="4" s="1"/>
  <c r="EC59" i="4" s="1"/>
  <c r="EC60" i="4" s="1"/>
  <c r="EC61" i="4" s="1"/>
  <c r="EC62" i="4" s="1"/>
  <c r="EC63" i="4" s="1"/>
  <c r="EC64" i="4" s="1"/>
  <c r="EC65" i="4" s="1"/>
  <c r="EC66" i="4" s="1"/>
  <c r="EC67" i="4" s="1"/>
  <c r="EC68" i="4" s="1"/>
  <c r="EC69" i="4" s="1"/>
  <c r="EC70" i="4" s="1"/>
  <c r="EC71" i="4" s="1"/>
  <c r="EC72" i="4" s="1"/>
  <c r="EC73" i="4" s="1"/>
  <c r="EC74" i="4" s="1"/>
  <c r="EC75" i="4" s="1"/>
  <c r="EC76" i="4" s="1"/>
  <c r="EC77" i="4" s="1"/>
  <c r="EC78" i="4" s="1"/>
  <c r="EC79" i="4" s="1"/>
  <c r="EC80" i="4" s="1"/>
  <c r="EC81" i="4" s="1"/>
  <c r="EC82" i="4" s="1"/>
  <c r="EC83" i="4" s="1"/>
  <c r="EC84" i="4" s="1"/>
  <c r="EC85" i="4" s="1"/>
  <c r="EC86" i="4" s="1"/>
  <c r="EC87" i="4" s="1"/>
  <c r="EC88" i="4" s="1"/>
  <c r="EC89" i="4" s="1"/>
  <c r="EC90" i="4" s="1"/>
  <c r="EC91" i="4" s="1"/>
  <c r="EC92" i="4" s="1"/>
  <c r="EC93" i="4" s="1"/>
  <c r="EC94" i="4" s="1"/>
  <c r="EC95" i="4" s="1"/>
  <c r="EC96" i="4" s="1"/>
  <c r="EC97" i="4" s="1"/>
  <c r="EC98" i="4" s="1"/>
  <c r="EC99" i="4" s="1"/>
  <c r="EC100" i="4" s="1"/>
  <c r="EC101" i="4" s="1"/>
  <c r="EC102" i="4" s="1"/>
  <c r="EC103" i="4" s="1"/>
  <c r="EC104" i="4" s="1"/>
  <c r="EC105" i="4" s="1"/>
  <c r="EC106" i="4" s="1"/>
  <c r="EC107" i="4" s="1"/>
  <c r="EC108" i="4" s="1"/>
  <c r="EC109" i="4" s="1"/>
  <c r="EC110" i="4" s="1"/>
  <c r="EC111" i="4" s="1"/>
  <c r="EC112" i="4" s="1"/>
  <c r="EC113" i="4" s="1"/>
  <c r="EC114" i="4" s="1"/>
  <c r="EC115" i="4" s="1"/>
  <c r="EC116" i="4" s="1"/>
  <c r="EC117" i="4" s="1"/>
  <c r="EC118" i="4" s="1"/>
  <c r="EC119" i="4" s="1"/>
  <c r="EC120" i="4" s="1"/>
  <c r="EC121" i="4" s="1"/>
  <c r="EC122" i="4" s="1"/>
  <c r="EC123" i="4" s="1"/>
  <c r="EC124" i="4" s="1"/>
  <c r="EC125" i="4" s="1"/>
  <c r="EC126" i="4" s="1"/>
  <c r="EC127" i="4" s="1"/>
  <c r="EC128" i="4" s="1"/>
  <c r="EC129" i="4" s="1"/>
  <c r="EC130" i="4" s="1"/>
  <c r="EC131" i="4" s="1"/>
  <c r="EC132" i="4" s="1"/>
  <c r="EC133" i="4" s="1"/>
  <c r="EC134" i="4" s="1"/>
  <c r="EC135" i="4" s="1"/>
  <c r="EC136" i="4" s="1"/>
  <c r="EC137" i="4" s="1"/>
  <c r="EC138" i="4" s="1"/>
  <c r="EC139" i="4" s="1"/>
  <c r="EC140" i="4" s="1"/>
  <c r="EC141" i="4" s="1"/>
  <c r="EC142" i="4" s="1"/>
  <c r="EC143" i="4" s="1"/>
  <c r="EC144" i="4" s="1"/>
  <c r="EC145" i="4" s="1"/>
  <c r="EC146" i="4" s="1"/>
  <c r="EC147" i="4" s="1"/>
  <c r="EC148" i="4" s="1"/>
  <c r="EC149" i="4" s="1"/>
  <c r="EC150" i="4" s="1"/>
  <c r="EC151" i="4" s="1"/>
  <c r="EC152" i="4" s="1"/>
  <c r="EC153" i="4" s="1"/>
  <c r="EC154" i="4" s="1"/>
  <c r="EC155" i="4" s="1"/>
  <c r="EC156" i="4" s="1"/>
  <c r="EC157" i="4" s="1"/>
  <c r="EC158" i="4" s="1"/>
  <c r="EC159" i="4" s="1"/>
  <c r="EC160" i="4" s="1"/>
  <c r="EC161" i="4" s="1"/>
  <c r="EC162" i="4" s="1"/>
  <c r="EC163" i="4" s="1"/>
  <c r="EC164" i="4" s="1"/>
  <c r="EC165" i="4" s="1"/>
  <c r="EC166" i="4" s="1"/>
  <c r="EC167" i="4" s="1"/>
  <c r="EC168" i="4" s="1"/>
  <c r="EC169" i="4" s="1"/>
  <c r="EC170" i="4" s="1"/>
  <c r="EC171" i="4" s="1"/>
  <c r="EC172" i="4" s="1"/>
  <c r="EC173" i="4" s="1"/>
  <c r="EC174" i="4" s="1"/>
  <c r="EC175" i="4" s="1"/>
  <c r="EC176" i="4" s="1"/>
  <c r="EC177" i="4" s="1"/>
  <c r="EC178" i="4" s="1"/>
  <c r="EC179" i="4" s="1"/>
  <c r="EC180" i="4" s="1"/>
  <c r="EC181" i="4" s="1"/>
  <c r="EC182" i="4" s="1"/>
  <c r="EC183" i="4" s="1"/>
  <c r="EC184" i="4" s="1"/>
  <c r="EC185" i="4" s="1"/>
  <c r="EC186" i="4" s="1"/>
  <c r="EC187" i="4" s="1"/>
  <c r="EC188" i="4" s="1"/>
  <c r="EC189" i="4" s="1"/>
  <c r="EC190" i="4" s="1"/>
  <c r="EC191" i="4" s="1"/>
  <c r="EC192" i="4" s="1"/>
  <c r="EC193" i="4" s="1"/>
  <c r="EC194" i="4" s="1"/>
  <c r="EC195" i="4" s="1"/>
  <c r="EC196" i="4" s="1"/>
  <c r="EC197" i="4" s="1"/>
  <c r="EC198" i="4" s="1"/>
  <c r="EC199" i="4" s="1"/>
  <c r="EC200" i="4" s="1"/>
  <c r="EC201" i="4" s="1"/>
  <c r="EC202" i="4" s="1"/>
  <c r="EB3" i="4"/>
  <c r="EB4" i="4" s="1"/>
  <c r="EB5" i="4" s="1"/>
  <c r="EB6" i="4" s="1"/>
  <c r="EB7" i="4" s="1"/>
  <c r="EB8" i="4" s="1"/>
  <c r="EB9" i="4" s="1"/>
  <c r="EB10" i="4" s="1"/>
  <c r="EB11" i="4" s="1"/>
  <c r="EB12" i="4" s="1"/>
  <c r="EB13" i="4" s="1"/>
  <c r="EB14" i="4" s="1"/>
  <c r="EB15" i="4" s="1"/>
  <c r="EB16" i="4" s="1"/>
  <c r="EB17" i="4" s="1"/>
  <c r="EB18" i="4" s="1"/>
  <c r="EB19" i="4" s="1"/>
  <c r="EB20" i="4" s="1"/>
  <c r="EB21" i="4" s="1"/>
  <c r="EB22" i="4" s="1"/>
  <c r="EB23" i="4" s="1"/>
  <c r="EB24" i="4" s="1"/>
  <c r="EB25" i="4" s="1"/>
  <c r="EB26" i="4" s="1"/>
  <c r="EB27" i="4" s="1"/>
  <c r="EB28" i="4" s="1"/>
  <c r="EB29" i="4" s="1"/>
  <c r="EB30" i="4" s="1"/>
  <c r="EB31" i="4" s="1"/>
  <c r="EB32" i="4" s="1"/>
  <c r="EB33" i="4" s="1"/>
  <c r="EB34" i="4" s="1"/>
  <c r="EB35" i="4" s="1"/>
  <c r="EB36" i="4" s="1"/>
  <c r="EB37" i="4" s="1"/>
  <c r="EB38" i="4" s="1"/>
  <c r="EB39" i="4" s="1"/>
  <c r="EB40" i="4" s="1"/>
  <c r="EB41" i="4" s="1"/>
  <c r="EB42" i="4" s="1"/>
  <c r="EB43" i="4" s="1"/>
  <c r="EB44" i="4" s="1"/>
  <c r="EB45" i="4" s="1"/>
  <c r="EB46" i="4" s="1"/>
  <c r="EB47" i="4" s="1"/>
  <c r="EB48" i="4" s="1"/>
  <c r="EB49" i="4" s="1"/>
  <c r="EB50" i="4" s="1"/>
  <c r="EB51" i="4" s="1"/>
  <c r="EB52" i="4" s="1"/>
  <c r="EB53" i="4" s="1"/>
  <c r="EB54" i="4" s="1"/>
  <c r="EB55" i="4" s="1"/>
  <c r="EB56" i="4" s="1"/>
  <c r="EB57" i="4" s="1"/>
  <c r="EB58" i="4" s="1"/>
  <c r="EB59" i="4" s="1"/>
  <c r="EB60" i="4" s="1"/>
  <c r="EB61" i="4" s="1"/>
  <c r="EB62" i="4" s="1"/>
  <c r="EB63" i="4" s="1"/>
  <c r="EB64" i="4" s="1"/>
  <c r="EB65" i="4" s="1"/>
  <c r="EB66" i="4" s="1"/>
  <c r="EB67" i="4" s="1"/>
  <c r="EB68" i="4" s="1"/>
  <c r="EB69" i="4" s="1"/>
  <c r="EB70" i="4" s="1"/>
  <c r="EB71" i="4" s="1"/>
  <c r="EB72" i="4" s="1"/>
  <c r="EB73" i="4" s="1"/>
  <c r="EB74" i="4" s="1"/>
  <c r="EB75" i="4" s="1"/>
  <c r="EB76" i="4" s="1"/>
  <c r="EB77" i="4" s="1"/>
  <c r="EB78" i="4" s="1"/>
  <c r="EB79" i="4" s="1"/>
  <c r="EB80" i="4" s="1"/>
  <c r="EB81" i="4" s="1"/>
  <c r="EB82" i="4" s="1"/>
  <c r="EB83" i="4" s="1"/>
  <c r="EB84" i="4" s="1"/>
  <c r="EB85" i="4" s="1"/>
  <c r="EB86" i="4" s="1"/>
  <c r="EB87" i="4" s="1"/>
  <c r="EB88" i="4" s="1"/>
  <c r="EB89" i="4" s="1"/>
  <c r="EB90" i="4" s="1"/>
  <c r="EB91" i="4" s="1"/>
  <c r="EB92" i="4" s="1"/>
  <c r="EB93" i="4" s="1"/>
  <c r="EB94" i="4" s="1"/>
  <c r="EB95" i="4" s="1"/>
  <c r="EB96" i="4" s="1"/>
  <c r="EB97" i="4" s="1"/>
  <c r="EB98" i="4" s="1"/>
  <c r="EB99" i="4" s="1"/>
  <c r="EB100" i="4" s="1"/>
  <c r="EB101" i="4" s="1"/>
  <c r="EB102" i="4" s="1"/>
  <c r="EB103" i="4" s="1"/>
  <c r="EB104" i="4" s="1"/>
  <c r="EB105" i="4" s="1"/>
  <c r="EB106" i="4" s="1"/>
  <c r="EB107" i="4" s="1"/>
  <c r="EB108" i="4" s="1"/>
  <c r="EB109" i="4" s="1"/>
  <c r="EB110" i="4" s="1"/>
  <c r="EB111" i="4" s="1"/>
  <c r="EB112" i="4" s="1"/>
  <c r="EB113" i="4" s="1"/>
  <c r="EB114" i="4" s="1"/>
  <c r="EB115" i="4" s="1"/>
  <c r="EB116" i="4" s="1"/>
  <c r="EB117" i="4" s="1"/>
  <c r="EB118" i="4" s="1"/>
  <c r="EB119" i="4" s="1"/>
  <c r="EB120" i="4" s="1"/>
  <c r="EB121" i="4" s="1"/>
  <c r="EB122" i="4" s="1"/>
  <c r="EB123" i="4" s="1"/>
  <c r="EB124" i="4" s="1"/>
  <c r="EB125" i="4" s="1"/>
  <c r="EB126" i="4" s="1"/>
  <c r="EB127" i="4" s="1"/>
  <c r="EB128" i="4" s="1"/>
  <c r="EB129" i="4" s="1"/>
  <c r="EB130" i="4" s="1"/>
  <c r="EB131" i="4" s="1"/>
  <c r="EB132" i="4" s="1"/>
  <c r="EB133" i="4" s="1"/>
  <c r="EB134" i="4" s="1"/>
  <c r="EB135" i="4" s="1"/>
  <c r="EB136" i="4" s="1"/>
  <c r="EB137" i="4" s="1"/>
  <c r="EB138" i="4" s="1"/>
  <c r="EB139" i="4" s="1"/>
  <c r="EB140" i="4" s="1"/>
  <c r="EB141" i="4" s="1"/>
  <c r="EB142" i="4" s="1"/>
  <c r="EB143" i="4" s="1"/>
  <c r="EB144" i="4" s="1"/>
  <c r="EB145" i="4" s="1"/>
  <c r="EB146" i="4" s="1"/>
  <c r="EB147" i="4" s="1"/>
  <c r="EB148" i="4" s="1"/>
  <c r="EB149" i="4" s="1"/>
  <c r="EB150" i="4" s="1"/>
  <c r="EB151" i="4" s="1"/>
  <c r="EB152" i="4" s="1"/>
  <c r="EB153" i="4" s="1"/>
  <c r="EB154" i="4" s="1"/>
  <c r="EB155" i="4" s="1"/>
  <c r="EB156" i="4" s="1"/>
  <c r="EB157" i="4" s="1"/>
  <c r="EB158" i="4" s="1"/>
  <c r="EB159" i="4" s="1"/>
  <c r="EB160" i="4" s="1"/>
  <c r="EB161" i="4" s="1"/>
  <c r="EB162" i="4" s="1"/>
  <c r="EB163" i="4" s="1"/>
  <c r="EB164" i="4" s="1"/>
  <c r="EB165" i="4" s="1"/>
  <c r="EB166" i="4" s="1"/>
  <c r="EB167" i="4" s="1"/>
  <c r="EB168" i="4" s="1"/>
  <c r="EB169" i="4" s="1"/>
  <c r="EB170" i="4" s="1"/>
  <c r="EB171" i="4" s="1"/>
  <c r="EB172" i="4" s="1"/>
  <c r="EB173" i="4" s="1"/>
  <c r="EB174" i="4" s="1"/>
  <c r="EB175" i="4" s="1"/>
  <c r="EB176" i="4" s="1"/>
  <c r="EB177" i="4" s="1"/>
  <c r="EB178" i="4" s="1"/>
  <c r="EB179" i="4" s="1"/>
  <c r="EB180" i="4" s="1"/>
  <c r="EB181" i="4" s="1"/>
  <c r="EB182" i="4" s="1"/>
  <c r="EB183" i="4" s="1"/>
  <c r="EB184" i="4" s="1"/>
  <c r="EB185" i="4" s="1"/>
  <c r="EB186" i="4" s="1"/>
  <c r="EB187" i="4" s="1"/>
  <c r="EB188" i="4" s="1"/>
  <c r="EB189" i="4" s="1"/>
  <c r="EB190" i="4" s="1"/>
  <c r="EB191" i="4" s="1"/>
  <c r="EB192" i="4" s="1"/>
  <c r="EB193" i="4" s="1"/>
  <c r="EB194" i="4" s="1"/>
  <c r="EB195" i="4" s="1"/>
  <c r="EB196" i="4" s="1"/>
  <c r="EB197" i="4" s="1"/>
  <c r="EB198" i="4" s="1"/>
  <c r="EB199" i="4" s="1"/>
  <c r="EB200" i="4" s="1"/>
  <c r="EB201" i="4" s="1"/>
  <c r="EB202" i="4" s="1"/>
  <c r="C156" i="5"/>
  <c r="AS145" i="5"/>
  <c r="AS146" i="5" s="1"/>
  <c r="AR145" i="5"/>
  <c r="AR146" i="5" s="1"/>
  <c r="AQ145" i="5"/>
  <c r="AQ146" i="5" s="1"/>
  <c r="AP145" i="5"/>
  <c r="AP146" i="5" s="1"/>
  <c r="AO145" i="5"/>
  <c r="AO146" i="5" s="1"/>
  <c r="AN145" i="5"/>
  <c r="AN146" i="5" s="1"/>
  <c r="AM145" i="5"/>
  <c r="AM146" i="5" s="1"/>
  <c r="AL145" i="5"/>
  <c r="AL146" i="5" s="1"/>
  <c r="AK145" i="5"/>
  <c r="AK146" i="5" s="1"/>
  <c r="AJ145" i="5"/>
  <c r="AJ146" i="5" s="1"/>
  <c r="AI145" i="5"/>
  <c r="AI146" i="5" s="1"/>
  <c r="AH145" i="5"/>
  <c r="AH146" i="5" s="1"/>
  <c r="AG145" i="5"/>
  <c r="AG146" i="5" s="1"/>
  <c r="AF145" i="5"/>
  <c r="AF146" i="5" s="1"/>
  <c r="AE145" i="5"/>
  <c r="AE146" i="5" s="1"/>
  <c r="AD145" i="5"/>
  <c r="AD146" i="5" s="1"/>
  <c r="AC145" i="5"/>
  <c r="AC146" i="5" s="1"/>
  <c r="AB145" i="5"/>
  <c r="AB146" i="5" s="1"/>
  <c r="AA145" i="5"/>
  <c r="AA146" i="5" s="1"/>
  <c r="Z145" i="5"/>
  <c r="Z146" i="5" s="1"/>
  <c r="Y145" i="5"/>
  <c r="Y146" i="5" s="1"/>
  <c r="X145" i="5"/>
  <c r="X146" i="5" s="1"/>
  <c r="W145" i="5"/>
  <c r="W146" i="5" s="1"/>
  <c r="V145" i="5"/>
  <c r="V146" i="5" s="1"/>
  <c r="U145" i="5"/>
  <c r="U146" i="5" s="1"/>
  <c r="T145" i="5"/>
  <c r="T146" i="5" s="1"/>
  <c r="S145" i="5"/>
  <c r="S146" i="5" s="1"/>
  <c r="R145" i="5"/>
  <c r="R146" i="5" s="1"/>
  <c r="Q145" i="5"/>
  <c r="Q146" i="5" s="1"/>
  <c r="P145" i="5"/>
  <c r="P146" i="5" s="1"/>
  <c r="O145" i="5"/>
  <c r="O146" i="5" s="1"/>
  <c r="N145" i="5"/>
  <c r="N146" i="5" s="1"/>
  <c r="M145" i="5"/>
  <c r="M146" i="5" s="1"/>
  <c r="L145" i="5"/>
  <c r="L146" i="5" s="1"/>
  <c r="K145" i="5"/>
  <c r="K146" i="5" s="1"/>
  <c r="J145" i="5"/>
  <c r="J146" i="5" s="1"/>
  <c r="I145" i="5"/>
  <c r="I146" i="5" s="1"/>
  <c r="H145" i="5"/>
  <c r="H146" i="5" s="1"/>
  <c r="D152" i="5"/>
  <c r="C152" i="5"/>
  <c r="AS142" i="5"/>
  <c r="AR142" i="5"/>
  <c r="AQ142" i="5"/>
  <c r="AP142" i="5"/>
  <c r="AO142" i="5"/>
  <c r="AN142" i="5"/>
  <c r="AM142" i="5"/>
  <c r="AL142" i="5"/>
  <c r="AK142" i="5"/>
  <c r="AJ142" i="5"/>
  <c r="AI142" i="5"/>
  <c r="AH142" i="5"/>
  <c r="AG142" i="5"/>
  <c r="AF142" i="5"/>
  <c r="AE142" i="5"/>
  <c r="AD142" i="5"/>
  <c r="AC142" i="5"/>
  <c r="AB142" i="5"/>
  <c r="AA142" i="5"/>
  <c r="Z142" i="5"/>
  <c r="Y142" i="5"/>
  <c r="X142" i="5"/>
  <c r="W142" i="5"/>
  <c r="V142" i="5"/>
  <c r="U142" i="5"/>
  <c r="T142" i="5"/>
  <c r="S142" i="5"/>
  <c r="R142" i="5"/>
  <c r="Q142" i="5"/>
  <c r="P142" i="5"/>
  <c r="O142" i="5"/>
  <c r="N142" i="5"/>
  <c r="M142" i="5"/>
  <c r="L142" i="5"/>
  <c r="K142" i="5"/>
  <c r="J142" i="5"/>
  <c r="I142" i="5"/>
  <c r="H142" i="5"/>
  <c r="AS141" i="5"/>
  <c r="AR141" i="5"/>
  <c r="AQ141" i="5"/>
  <c r="AP141" i="5"/>
  <c r="AO141" i="5"/>
  <c r="AN141" i="5"/>
  <c r="AM141" i="5"/>
  <c r="AL141" i="5"/>
  <c r="AK141" i="5"/>
  <c r="AJ141" i="5"/>
  <c r="AI141" i="5"/>
  <c r="AH141" i="5"/>
  <c r="AG141" i="5"/>
  <c r="AF141" i="5"/>
  <c r="AE141" i="5"/>
  <c r="AD141" i="5"/>
  <c r="AD166" i="5" s="1"/>
  <c r="AD167" i="5" s="1"/>
  <c r="AC141" i="5"/>
  <c r="AB141" i="5"/>
  <c r="AA141" i="5"/>
  <c r="Z141" i="5"/>
  <c r="Z166" i="5" s="1"/>
  <c r="Y141" i="5"/>
  <c r="X141" i="5"/>
  <c r="W141" i="5"/>
  <c r="V141" i="5"/>
  <c r="U141" i="5"/>
  <c r="T141" i="5"/>
  <c r="S141" i="5"/>
  <c r="S166" i="5" s="1"/>
  <c r="R141" i="5"/>
  <c r="R166" i="5" s="1"/>
  <c r="Q141" i="5"/>
  <c r="P141" i="5"/>
  <c r="O141" i="5"/>
  <c r="O166" i="5" s="1"/>
  <c r="O167" i="5" s="1"/>
  <c r="N141" i="5"/>
  <c r="N166" i="5" s="1"/>
  <c r="M141" i="5"/>
  <c r="L141" i="5"/>
  <c r="K141" i="5"/>
  <c r="J141" i="5"/>
  <c r="I141" i="5"/>
  <c r="H141" i="5"/>
  <c r="AS134" i="5"/>
  <c r="AR134" i="5"/>
  <c r="AQ134" i="5"/>
  <c r="AP134" i="5"/>
  <c r="AO134" i="5"/>
  <c r="AN134" i="5"/>
  <c r="AM134" i="5"/>
  <c r="AL134" i="5"/>
  <c r="AK134" i="5"/>
  <c r="AJ134" i="5"/>
  <c r="AI134" i="5"/>
  <c r="AH134" i="5"/>
  <c r="AG134" i="5"/>
  <c r="AF134" i="5"/>
  <c r="AE134" i="5"/>
  <c r="AD134" i="5"/>
  <c r="AC134" i="5"/>
  <c r="AB134" i="5"/>
  <c r="AA134" i="5"/>
  <c r="Z134" i="5"/>
  <c r="Y134" i="5"/>
  <c r="X134" i="5"/>
  <c r="W134" i="5"/>
  <c r="V134" i="5"/>
  <c r="U134" i="5"/>
  <c r="T134" i="5"/>
  <c r="S134" i="5"/>
  <c r="R134" i="5"/>
  <c r="Q134" i="5"/>
  <c r="P134" i="5"/>
  <c r="O134" i="5"/>
  <c r="N134" i="5"/>
  <c r="M134" i="5"/>
  <c r="L134" i="5"/>
  <c r="K134" i="5"/>
  <c r="J134" i="5"/>
  <c r="I134" i="5"/>
  <c r="H134" i="5"/>
  <c r="E39" i="5"/>
  <c r="C31" i="5"/>
  <c r="B30" i="5"/>
  <c r="B28" i="5"/>
  <c r="D18" i="5"/>
  <c r="D20" i="5" s="1"/>
  <c r="BR166" i="5" l="1"/>
  <c r="BR167" i="5" s="1"/>
  <c r="BS166" i="5"/>
  <c r="BS167" i="5" s="1"/>
  <c r="BT166" i="5"/>
  <c r="BT167" i="5" s="1"/>
  <c r="H166" i="5"/>
  <c r="J166" i="5"/>
  <c r="V166" i="5"/>
  <c r="V167" i="5" s="1"/>
  <c r="BQ166" i="5"/>
  <c r="BQ167" i="5" s="1"/>
  <c r="G170" i="5" s="1"/>
  <c r="AU166" i="5"/>
  <c r="BP166" i="5"/>
  <c r="BP167" i="5" s="1"/>
  <c r="AL166" i="5"/>
  <c r="AL167" i="5" s="1"/>
  <c r="AE166" i="5"/>
  <c r="AM166" i="5"/>
  <c r="AH143" i="5"/>
  <c r="AH17" i="5" s="1"/>
  <c r="AH16" i="5" s="1"/>
  <c r="AH15" i="5" s="1"/>
  <c r="AH14" i="5" s="1"/>
  <c r="AH13" i="5" s="1"/>
  <c r="AH12" i="5" s="1"/>
  <c r="AH11" i="5" s="1"/>
  <c r="AH10" i="5" s="1"/>
  <c r="AH9" i="5" s="1"/>
  <c r="AH8" i="5" s="1"/>
  <c r="AH7" i="5" s="1"/>
  <c r="AH6" i="5" s="1"/>
  <c r="AH5" i="5" s="1"/>
  <c r="AH4" i="5" s="1"/>
  <c r="AH166" i="5"/>
  <c r="AP166" i="5"/>
  <c r="K143" i="5"/>
  <c r="K17" i="5" s="1"/>
  <c r="K16" i="5" s="1"/>
  <c r="K15" i="5" s="1"/>
  <c r="K14" i="5" s="1"/>
  <c r="K13" i="5" s="1"/>
  <c r="K12" i="5" s="1"/>
  <c r="K11" i="5" s="1"/>
  <c r="K10" i="5" s="1"/>
  <c r="K9" i="5" s="1"/>
  <c r="K8" i="5" s="1"/>
  <c r="K7" i="5" s="1"/>
  <c r="K6" i="5" s="1"/>
  <c r="K5" i="5" s="1"/>
  <c r="K4" i="5" s="1"/>
  <c r="K166" i="5"/>
  <c r="W143" i="5"/>
  <c r="W17" i="5" s="1"/>
  <c r="W16" i="5" s="1"/>
  <c r="W15" i="5" s="1"/>
  <c r="W14" i="5" s="1"/>
  <c r="W13" i="5" s="1"/>
  <c r="W12" i="5" s="1"/>
  <c r="W11" i="5" s="1"/>
  <c r="W10" i="5" s="1"/>
  <c r="W9" i="5" s="1"/>
  <c r="W8" i="5" s="1"/>
  <c r="W7" i="5" s="1"/>
  <c r="W6" i="5" s="1"/>
  <c r="W5" i="5" s="1"/>
  <c r="W4" i="5" s="1"/>
  <c r="W166" i="5"/>
  <c r="AA166" i="5"/>
  <c r="AI143" i="5"/>
  <c r="AI17" i="5" s="1"/>
  <c r="AI16" i="5" s="1"/>
  <c r="AI15" i="5" s="1"/>
  <c r="AI14" i="5" s="1"/>
  <c r="AI13" i="5" s="1"/>
  <c r="AI12" i="5" s="1"/>
  <c r="AI11" i="5" s="1"/>
  <c r="AI10" i="5" s="1"/>
  <c r="AI9" i="5" s="1"/>
  <c r="AI8" i="5" s="1"/>
  <c r="AI7" i="5" s="1"/>
  <c r="AI6" i="5" s="1"/>
  <c r="AI5" i="5" s="1"/>
  <c r="AI4" i="5" s="1"/>
  <c r="AI166" i="5"/>
  <c r="AQ166" i="5"/>
  <c r="L166" i="5"/>
  <c r="P166" i="5"/>
  <c r="T166" i="5"/>
  <c r="T167" i="5" s="1"/>
  <c r="X166" i="5"/>
  <c r="AB166" i="5"/>
  <c r="AF166" i="5"/>
  <c r="AJ166" i="5"/>
  <c r="AJ167" i="5" s="1"/>
  <c r="AN166" i="5"/>
  <c r="AR166" i="5"/>
  <c r="AT166" i="5"/>
  <c r="AT167" i="5" s="1"/>
  <c r="AY166" i="5"/>
  <c r="BC166" i="5"/>
  <c r="BG166" i="5"/>
  <c r="BK166" i="5"/>
  <c r="BK167" i="5" s="1"/>
  <c r="AW166" i="5"/>
  <c r="AW167" i="5" s="1"/>
  <c r="BA166" i="5"/>
  <c r="BE166" i="5"/>
  <c r="BI166" i="5"/>
  <c r="BM166" i="5"/>
  <c r="AX166" i="5"/>
  <c r="BB166" i="5"/>
  <c r="BF166" i="5"/>
  <c r="BF167" i="5" s="1"/>
  <c r="BJ166" i="5"/>
  <c r="BO166" i="5"/>
  <c r="BN166" i="5"/>
  <c r="BN167" i="5" s="1"/>
  <c r="AV166" i="5"/>
  <c r="AZ166" i="5"/>
  <c r="BD166" i="5"/>
  <c r="BD167" i="5" s="1"/>
  <c r="BH166" i="5"/>
  <c r="BL166" i="5"/>
  <c r="BL167" i="5" s="1"/>
  <c r="I166" i="5"/>
  <c r="M166" i="5"/>
  <c r="Q166" i="5"/>
  <c r="U166" i="5"/>
  <c r="U167" i="5" s="1"/>
  <c r="Y166" i="5"/>
  <c r="AC166" i="5"/>
  <c r="AG166" i="5"/>
  <c r="AK166" i="5"/>
  <c r="AO166" i="5"/>
  <c r="AS166" i="5"/>
  <c r="U143" i="5"/>
  <c r="U17" i="5" s="1"/>
  <c r="U16" i="5" s="1"/>
  <c r="U15" i="5" s="1"/>
  <c r="U14" i="5" s="1"/>
  <c r="U13" i="5" s="1"/>
  <c r="U12" i="5" s="1"/>
  <c r="U11" i="5" s="1"/>
  <c r="U10" i="5" s="1"/>
  <c r="U9" i="5" s="1"/>
  <c r="U8" i="5" s="1"/>
  <c r="U7" i="5" s="1"/>
  <c r="U6" i="5" s="1"/>
  <c r="U5" i="5" s="1"/>
  <c r="U4" i="5" s="1"/>
  <c r="AG143" i="5"/>
  <c r="AG17" i="5" s="1"/>
  <c r="AG16" i="5" s="1"/>
  <c r="AG15" i="5" s="1"/>
  <c r="AG14" i="5" s="1"/>
  <c r="AG13" i="5" s="1"/>
  <c r="AG12" i="5" s="1"/>
  <c r="AG11" i="5" s="1"/>
  <c r="AG10" i="5" s="1"/>
  <c r="AG9" i="5" s="1"/>
  <c r="AG8" i="5" s="1"/>
  <c r="AG7" i="5" s="1"/>
  <c r="AG6" i="5" s="1"/>
  <c r="AG5" i="5" s="1"/>
  <c r="AG4" i="5" s="1"/>
  <c r="I143" i="5"/>
  <c r="I17" i="5" s="1"/>
  <c r="I16" i="5" s="1"/>
  <c r="I15" i="5" s="1"/>
  <c r="I14" i="5" s="1"/>
  <c r="I13" i="5" s="1"/>
  <c r="I12" i="5" s="1"/>
  <c r="I11" i="5" s="1"/>
  <c r="I10" i="5" s="1"/>
  <c r="I9" i="5" s="1"/>
  <c r="I8" i="5" s="1"/>
  <c r="I7" i="5" s="1"/>
  <c r="I6" i="5" s="1"/>
  <c r="I5" i="5" s="1"/>
  <c r="I4" i="5" s="1"/>
  <c r="L143" i="5"/>
  <c r="L17" i="5" s="1"/>
  <c r="L16" i="5" s="1"/>
  <c r="L15" i="5" s="1"/>
  <c r="L14" i="5" s="1"/>
  <c r="L13" i="5" s="1"/>
  <c r="L12" i="5" s="1"/>
  <c r="L11" i="5" s="1"/>
  <c r="L10" i="5" s="1"/>
  <c r="L9" i="5" s="1"/>
  <c r="L8" i="5" s="1"/>
  <c r="L7" i="5" s="1"/>
  <c r="L6" i="5" s="1"/>
  <c r="L5" i="5" s="1"/>
  <c r="L4" i="5" s="1"/>
  <c r="X143" i="5"/>
  <c r="X17" i="5" s="1"/>
  <c r="X16" i="5" s="1"/>
  <c r="X15" i="5" s="1"/>
  <c r="X14" i="5" s="1"/>
  <c r="X13" i="5" s="1"/>
  <c r="X12" i="5" s="1"/>
  <c r="X11" i="5" s="1"/>
  <c r="X10" i="5" s="1"/>
  <c r="X9" i="5" s="1"/>
  <c r="X8" i="5" s="1"/>
  <c r="X7" i="5" s="1"/>
  <c r="X6" i="5" s="1"/>
  <c r="X5" i="5" s="1"/>
  <c r="X4" i="5" s="1"/>
  <c r="AJ143" i="5"/>
  <c r="AJ17" i="5" s="1"/>
  <c r="AJ16" i="5" s="1"/>
  <c r="AJ15" i="5" s="1"/>
  <c r="AJ14" i="5" s="1"/>
  <c r="AJ13" i="5" s="1"/>
  <c r="AJ12" i="5" s="1"/>
  <c r="AJ11" i="5" s="1"/>
  <c r="AJ10" i="5" s="1"/>
  <c r="AJ9" i="5" s="1"/>
  <c r="AJ8" i="5" s="1"/>
  <c r="AJ7" i="5" s="1"/>
  <c r="AJ6" i="5" s="1"/>
  <c r="AJ5" i="5" s="1"/>
  <c r="AJ4" i="5" s="1"/>
  <c r="J143" i="5"/>
  <c r="J17" i="5" s="1"/>
  <c r="J16" i="5" s="1"/>
  <c r="J15" i="5" s="1"/>
  <c r="J14" i="5" s="1"/>
  <c r="J13" i="5" s="1"/>
  <c r="J12" i="5" s="1"/>
  <c r="J11" i="5" s="1"/>
  <c r="J10" i="5" s="1"/>
  <c r="J9" i="5" s="1"/>
  <c r="J8" i="5" s="1"/>
  <c r="J7" i="5" s="1"/>
  <c r="J6" i="5" s="1"/>
  <c r="J5" i="5" s="1"/>
  <c r="J4" i="5" s="1"/>
  <c r="V143" i="5"/>
  <c r="V17" i="5" s="1"/>
  <c r="V16" i="5" s="1"/>
  <c r="V15" i="5" s="1"/>
  <c r="V14" i="5" s="1"/>
  <c r="V13" i="5" s="1"/>
  <c r="V12" i="5" s="1"/>
  <c r="V11" i="5" s="1"/>
  <c r="V10" i="5" s="1"/>
  <c r="V9" i="5" s="1"/>
  <c r="V8" i="5" s="1"/>
  <c r="V7" i="5" s="1"/>
  <c r="V6" i="5" s="1"/>
  <c r="V5" i="5" s="1"/>
  <c r="V4" i="5" s="1"/>
  <c r="O143" i="5"/>
  <c r="O17" i="5" s="1"/>
  <c r="O16" i="5" s="1"/>
  <c r="O15" i="5" s="1"/>
  <c r="O14" i="5" s="1"/>
  <c r="O13" i="5" s="1"/>
  <c r="O12" i="5" s="1"/>
  <c r="O11" i="5" s="1"/>
  <c r="O10" i="5" s="1"/>
  <c r="O9" i="5" s="1"/>
  <c r="O8" i="5" s="1"/>
  <c r="O7" i="5" s="1"/>
  <c r="O6" i="5" s="1"/>
  <c r="O5" i="5" s="1"/>
  <c r="O4" i="5" s="1"/>
  <c r="AA143" i="5"/>
  <c r="AA17" i="5" s="1"/>
  <c r="AA16" i="5" s="1"/>
  <c r="AA15" i="5" s="1"/>
  <c r="AA14" i="5" s="1"/>
  <c r="AA13" i="5" s="1"/>
  <c r="AA12" i="5" s="1"/>
  <c r="AA11" i="5" s="1"/>
  <c r="AA10" i="5" s="1"/>
  <c r="AA9" i="5" s="1"/>
  <c r="AA8" i="5" s="1"/>
  <c r="AA7" i="5" s="1"/>
  <c r="AA6" i="5" s="1"/>
  <c r="AA5" i="5" s="1"/>
  <c r="AA4" i="5" s="1"/>
  <c r="AM143" i="5"/>
  <c r="AM17" i="5" s="1"/>
  <c r="AM16" i="5" s="1"/>
  <c r="AM15" i="5" s="1"/>
  <c r="AM14" i="5" s="1"/>
  <c r="AM13" i="5" s="1"/>
  <c r="AM12" i="5" s="1"/>
  <c r="AM11" i="5" s="1"/>
  <c r="AM10" i="5" s="1"/>
  <c r="AM9" i="5" s="1"/>
  <c r="AM8" i="5" s="1"/>
  <c r="AM7" i="5" s="1"/>
  <c r="AM6" i="5" s="1"/>
  <c r="AM5" i="5" s="1"/>
  <c r="AM4" i="5" s="1"/>
  <c r="M143" i="5"/>
  <c r="M17" i="5" s="1"/>
  <c r="M16" i="5" s="1"/>
  <c r="M15" i="5" s="1"/>
  <c r="M14" i="5" s="1"/>
  <c r="M13" i="5" s="1"/>
  <c r="M12" i="5" s="1"/>
  <c r="M11" i="5" s="1"/>
  <c r="M10" i="5" s="1"/>
  <c r="M9" i="5" s="1"/>
  <c r="M8" i="5" s="1"/>
  <c r="M7" i="5" s="1"/>
  <c r="M6" i="5" s="1"/>
  <c r="M5" i="5" s="1"/>
  <c r="M4" i="5" s="1"/>
  <c r="Y143" i="5"/>
  <c r="Y17" i="5" s="1"/>
  <c r="Y16" i="5" s="1"/>
  <c r="Y15" i="5" s="1"/>
  <c r="Y14" i="5" s="1"/>
  <c r="Y13" i="5" s="1"/>
  <c r="Y12" i="5" s="1"/>
  <c r="Y11" i="5" s="1"/>
  <c r="Y10" i="5" s="1"/>
  <c r="Y9" i="5" s="1"/>
  <c r="Y8" i="5" s="1"/>
  <c r="Y7" i="5" s="1"/>
  <c r="Y6" i="5" s="1"/>
  <c r="Y5" i="5" s="1"/>
  <c r="Y4" i="5" s="1"/>
  <c r="AK143" i="5"/>
  <c r="AK17" i="5" s="1"/>
  <c r="AK16" i="5" s="1"/>
  <c r="AK15" i="5" s="1"/>
  <c r="AK14" i="5" s="1"/>
  <c r="AK13" i="5" s="1"/>
  <c r="AK12" i="5" s="1"/>
  <c r="AK11" i="5" s="1"/>
  <c r="AK10" i="5" s="1"/>
  <c r="AK9" i="5" s="1"/>
  <c r="AK8" i="5" s="1"/>
  <c r="AK7" i="5" s="1"/>
  <c r="AK6" i="5" s="1"/>
  <c r="AK5" i="5" s="1"/>
  <c r="AK4" i="5" s="1"/>
  <c r="P143" i="5"/>
  <c r="P17" i="5" s="1"/>
  <c r="P16" i="5" s="1"/>
  <c r="P15" i="5" s="1"/>
  <c r="P14" i="5" s="1"/>
  <c r="P13" i="5" s="1"/>
  <c r="P12" i="5" s="1"/>
  <c r="P11" i="5" s="1"/>
  <c r="P10" i="5" s="1"/>
  <c r="P9" i="5" s="1"/>
  <c r="P8" i="5" s="1"/>
  <c r="P7" i="5" s="1"/>
  <c r="P6" i="5" s="1"/>
  <c r="P5" i="5" s="1"/>
  <c r="P4" i="5" s="1"/>
  <c r="AB143" i="5"/>
  <c r="AB17" i="5" s="1"/>
  <c r="AB16" i="5" s="1"/>
  <c r="AB15" i="5" s="1"/>
  <c r="AB14" i="5" s="1"/>
  <c r="AB13" i="5" s="1"/>
  <c r="AB12" i="5" s="1"/>
  <c r="AB11" i="5" s="1"/>
  <c r="AB10" i="5" s="1"/>
  <c r="AB9" i="5" s="1"/>
  <c r="AB8" i="5" s="1"/>
  <c r="AB7" i="5" s="1"/>
  <c r="AB6" i="5" s="1"/>
  <c r="AB5" i="5" s="1"/>
  <c r="AB4" i="5" s="1"/>
  <c r="AN143" i="5"/>
  <c r="AN17" i="5" s="1"/>
  <c r="AN16" i="5" s="1"/>
  <c r="AN15" i="5" s="1"/>
  <c r="AN14" i="5" s="1"/>
  <c r="AN13" i="5" s="1"/>
  <c r="AN12" i="5" s="1"/>
  <c r="AN11" i="5" s="1"/>
  <c r="AN10" i="5" s="1"/>
  <c r="AN9" i="5" s="1"/>
  <c r="AN8" i="5" s="1"/>
  <c r="AN7" i="5" s="1"/>
  <c r="AN6" i="5" s="1"/>
  <c r="AN5" i="5" s="1"/>
  <c r="AN4" i="5" s="1"/>
  <c r="Q143" i="5"/>
  <c r="Q17" i="5" s="1"/>
  <c r="Q16" i="5" s="1"/>
  <c r="Q15" i="5" s="1"/>
  <c r="Q14" i="5" s="1"/>
  <c r="Q13" i="5" s="1"/>
  <c r="Q12" i="5" s="1"/>
  <c r="Q11" i="5" s="1"/>
  <c r="Q10" i="5" s="1"/>
  <c r="Q9" i="5" s="1"/>
  <c r="Q8" i="5" s="1"/>
  <c r="Q7" i="5" s="1"/>
  <c r="Q6" i="5" s="1"/>
  <c r="Q5" i="5" s="1"/>
  <c r="Q4" i="5" s="1"/>
  <c r="AC143" i="5"/>
  <c r="AC17" i="5" s="1"/>
  <c r="AC16" i="5" s="1"/>
  <c r="AC15" i="5" s="1"/>
  <c r="AC14" i="5" s="1"/>
  <c r="AC13" i="5" s="1"/>
  <c r="AC12" i="5" s="1"/>
  <c r="AC11" i="5" s="1"/>
  <c r="AC10" i="5" s="1"/>
  <c r="AC9" i="5" s="1"/>
  <c r="AC8" i="5" s="1"/>
  <c r="AC7" i="5" s="1"/>
  <c r="AC6" i="5" s="1"/>
  <c r="AC5" i="5" s="1"/>
  <c r="AC4" i="5" s="1"/>
  <c r="AO143" i="5"/>
  <c r="AO17" i="5" s="1"/>
  <c r="AO16" i="5" s="1"/>
  <c r="AO15" i="5" s="1"/>
  <c r="AO14" i="5" s="1"/>
  <c r="AO13" i="5" s="1"/>
  <c r="AO12" i="5" s="1"/>
  <c r="AO11" i="5" s="1"/>
  <c r="AO10" i="5" s="1"/>
  <c r="AO9" i="5" s="1"/>
  <c r="AO8" i="5" s="1"/>
  <c r="AO7" i="5" s="1"/>
  <c r="AO6" i="5" s="1"/>
  <c r="AO5" i="5" s="1"/>
  <c r="AO4" i="5" s="1"/>
  <c r="H143" i="5"/>
  <c r="H17" i="5" s="1"/>
  <c r="H18" i="5" s="1"/>
  <c r="H19" i="5" s="1"/>
  <c r="H20" i="5" s="1"/>
  <c r="H21" i="5" s="1"/>
  <c r="H22" i="5" s="1"/>
  <c r="H23" i="5" s="1"/>
  <c r="H24" i="5" s="1"/>
  <c r="H25" i="5" s="1"/>
  <c r="H26" i="5" s="1"/>
  <c r="H27" i="5" s="1"/>
  <c r="H28" i="5" s="1"/>
  <c r="H29" i="5" s="1"/>
  <c r="H30" i="5" s="1"/>
  <c r="H31" i="5" s="1"/>
  <c r="T143" i="5"/>
  <c r="T17" i="5" s="1"/>
  <c r="T16" i="5" s="1"/>
  <c r="T15" i="5" s="1"/>
  <c r="T14" i="5" s="1"/>
  <c r="T13" i="5" s="1"/>
  <c r="T12" i="5" s="1"/>
  <c r="T11" i="5" s="1"/>
  <c r="T10" i="5" s="1"/>
  <c r="T9" i="5" s="1"/>
  <c r="T8" i="5" s="1"/>
  <c r="T7" i="5" s="1"/>
  <c r="T6" i="5" s="1"/>
  <c r="T5" i="5" s="1"/>
  <c r="T4" i="5" s="1"/>
  <c r="AF143" i="5"/>
  <c r="AF17" i="5" s="1"/>
  <c r="AF16" i="5" s="1"/>
  <c r="AF15" i="5" s="1"/>
  <c r="AF14" i="5" s="1"/>
  <c r="AF13" i="5" s="1"/>
  <c r="AF12" i="5" s="1"/>
  <c r="AF11" i="5" s="1"/>
  <c r="AF10" i="5" s="1"/>
  <c r="AF9" i="5" s="1"/>
  <c r="AF8" i="5" s="1"/>
  <c r="AF7" i="5" s="1"/>
  <c r="AF6" i="5" s="1"/>
  <c r="AF5" i="5" s="1"/>
  <c r="AF4" i="5" s="1"/>
  <c r="N143" i="5"/>
  <c r="N17" i="5" s="1"/>
  <c r="N16" i="5" s="1"/>
  <c r="N15" i="5" s="1"/>
  <c r="N14" i="5" s="1"/>
  <c r="N13" i="5" s="1"/>
  <c r="N12" i="5" s="1"/>
  <c r="N11" i="5" s="1"/>
  <c r="N10" i="5" s="1"/>
  <c r="N9" i="5" s="1"/>
  <c r="N8" i="5" s="1"/>
  <c r="N7" i="5" s="1"/>
  <c r="N6" i="5" s="1"/>
  <c r="N5" i="5" s="1"/>
  <c r="N4" i="5" s="1"/>
  <c r="Z143" i="5"/>
  <c r="Z17" i="5" s="1"/>
  <c r="Z16" i="5" s="1"/>
  <c r="Z15" i="5" s="1"/>
  <c r="Z14" i="5" s="1"/>
  <c r="Z13" i="5" s="1"/>
  <c r="Z12" i="5" s="1"/>
  <c r="Z11" i="5" s="1"/>
  <c r="Z10" i="5" s="1"/>
  <c r="Z9" i="5" s="1"/>
  <c r="Z8" i="5" s="1"/>
  <c r="Z7" i="5" s="1"/>
  <c r="Z6" i="5" s="1"/>
  <c r="Z5" i="5" s="1"/>
  <c r="Z4" i="5" s="1"/>
  <c r="AL143" i="5"/>
  <c r="AL17" i="5" s="1"/>
  <c r="AL16" i="5" s="1"/>
  <c r="AL15" i="5" s="1"/>
  <c r="AL14" i="5" s="1"/>
  <c r="AL13" i="5" s="1"/>
  <c r="AL12" i="5" s="1"/>
  <c r="AL11" i="5" s="1"/>
  <c r="AL10" i="5" s="1"/>
  <c r="AL9" i="5" s="1"/>
  <c r="AL8" i="5" s="1"/>
  <c r="AL7" i="5" s="1"/>
  <c r="AL6" i="5" s="1"/>
  <c r="AL5" i="5" s="1"/>
  <c r="AL4" i="5" s="1"/>
  <c r="W148" i="5"/>
  <c r="D59" i="5" s="1"/>
  <c r="R143" i="5"/>
  <c r="R17" i="5" s="1"/>
  <c r="R16" i="5" s="1"/>
  <c r="R15" i="5" s="1"/>
  <c r="R14" i="5" s="1"/>
  <c r="R13" i="5" s="1"/>
  <c r="R12" i="5" s="1"/>
  <c r="R11" i="5" s="1"/>
  <c r="R10" i="5" s="1"/>
  <c r="R9" i="5" s="1"/>
  <c r="R8" i="5" s="1"/>
  <c r="R7" i="5" s="1"/>
  <c r="R6" i="5" s="1"/>
  <c r="R5" i="5" s="1"/>
  <c r="R4" i="5" s="1"/>
  <c r="AD143" i="5"/>
  <c r="AD17" i="5" s="1"/>
  <c r="AD16" i="5" s="1"/>
  <c r="AD15" i="5" s="1"/>
  <c r="AD14" i="5" s="1"/>
  <c r="AD13" i="5" s="1"/>
  <c r="AD12" i="5" s="1"/>
  <c r="AD11" i="5" s="1"/>
  <c r="AD10" i="5" s="1"/>
  <c r="AD9" i="5" s="1"/>
  <c r="AD8" i="5" s="1"/>
  <c r="AD7" i="5" s="1"/>
  <c r="AD6" i="5" s="1"/>
  <c r="AD5" i="5" s="1"/>
  <c r="AD4" i="5" s="1"/>
  <c r="AP143" i="5"/>
  <c r="AP17" i="5" s="1"/>
  <c r="AP16" i="5" s="1"/>
  <c r="AP15" i="5" s="1"/>
  <c r="AP14" i="5" s="1"/>
  <c r="AP13" i="5" s="1"/>
  <c r="AP12" i="5" s="1"/>
  <c r="AP11" i="5" s="1"/>
  <c r="AP10" i="5" s="1"/>
  <c r="AP9" i="5" s="1"/>
  <c r="AP8" i="5" s="1"/>
  <c r="AP7" i="5" s="1"/>
  <c r="AP6" i="5" s="1"/>
  <c r="AP5" i="5" s="1"/>
  <c r="AP4" i="5" s="1"/>
  <c r="S143" i="5"/>
  <c r="S17" i="5" s="1"/>
  <c r="S16" i="5" s="1"/>
  <c r="S15" i="5" s="1"/>
  <c r="S14" i="5" s="1"/>
  <c r="S13" i="5" s="1"/>
  <c r="S12" i="5" s="1"/>
  <c r="S11" i="5" s="1"/>
  <c r="S10" i="5" s="1"/>
  <c r="S9" i="5" s="1"/>
  <c r="S8" i="5" s="1"/>
  <c r="S7" i="5" s="1"/>
  <c r="S6" i="5" s="1"/>
  <c r="S5" i="5" s="1"/>
  <c r="S4" i="5" s="1"/>
  <c r="AQ143" i="5"/>
  <c r="AQ17" i="5" s="1"/>
  <c r="AQ16" i="5" s="1"/>
  <c r="AQ15" i="5" s="1"/>
  <c r="AQ14" i="5" s="1"/>
  <c r="AQ13" i="5" s="1"/>
  <c r="AQ12" i="5" s="1"/>
  <c r="AQ11" i="5" s="1"/>
  <c r="AQ10" i="5" s="1"/>
  <c r="AQ9" i="5" s="1"/>
  <c r="AQ8" i="5" s="1"/>
  <c r="AQ7" i="5" s="1"/>
  <c r="AQ6" i="5" s="1"/>
  <c r="AQ5" i="5" s="1"/>
  <c r="AQ4" i="5" s="1"/>
  <c r="AS143" i="5"/>
  <c r="AS17" i="5" s="1"/>
  <c r="AS16" i="5" s="1"/>
  <c r="AS15" i="5" s="1"/>
  <c r="AS14" i="5" s="1"/>
  <c r="AS13" i="5" s="1"/>
  <c r="AS12" i="5" s="1"/>
  <c r="AS11" i="5" s="1"/>
  <c r="AS10" i="5" s="1"/>
  <c r="AS9" i="5" s="1"/>
  <c r="AS8" i="5" s="1"/>
  <c r="AS7" i="5" s="1"/>
  <c r="AS6" i="5" s="1"/>
  <c r="AS5" i="5" s="1"/>
  <c r="AS4" i="5" s="1"/>
  <c r="O148" i="5"/>
  <c r="D51" i="5" s="1"/>
  <c r="AR143" i="5"/>
  <c r="AR17" i="5" s="1"/>
  <c r="AR16" i="5" s="1"/>
  <c r="AR15" i="5" s="1"/>
  <c r="AR14" i="5" s="1"/>
  <c r="AR13" i="5" s="1"/>
  <c r="AR12" i="5" s="1"/>
  <c r="AR11" i="5" s="1"/>
  <c r="AR10" i="5" s="1"/>
  <c r="AR9" i="5" s="1"/>
  <c r="AR8" i="5" s="1"/>
  <c r="AR7" i="5" s="1"/>
  <c r="AR6" i="5" s="1"/>
  <c r="AR5" i="5" s="1"/>
  <c r="AR4" i="5" s="1"/>
  <c r="AE143" i="5"/>
  <c r="AE17" i="5" s="1"/>
  <c r="AE18" i="5" s="1"/>
  <c r="AE19" i="5" s="1"/>
  <c r="AE20" i="5" s="1"/>
  <c r="AE21" i="5" s="1"/>
  <c r="AE22" i="5" s="1"/>
  <c r="AE23" i="5" s="1"/>
  <c r="AE24" i="5" s="1"/>
  <c r="AE25" i="5" s="1"/>
  <c r="AE26" i="5" s="1"/>
  <c r="AE27" i="5" s="1"/>
  <c r="AE28" i="5" s="1"/>
  <c r="AE29" i="5" s="1"/>
  <c r="AE30" i="5" s="1"/>
  <c r="AE31" i="5" s="1"/>
  <c r="X148" i="5"/>
  <c r="D60" i="5" s="1"/>
  <c r="H16" i="5"/>
  <c r="H15" i="5" s="1"/>
  <c r="H14" i="5" s="1"/>
  <c r="H13" i="5" s="1"/>
  <c r="H12" i="5" s="1"/>
  <c r="H11" i="5" s="1"/>
  <c r="H10" i="5" s="1"/>
  <c r="H9" i="5" s="1"/>
  <c r="H8" i="5" s="1"/>
  <c r="H7" i="5" s="1"/>
  <c r="H6" i="5" s="1"/>
  <c r="H5" i="5" s="1"/>
  <c r="H4" i="5" s="1"/>
  <c r="V148" i="5"/>
  <c r="D58" i="5" s="1"/>
  <c r="O198" i="3"/>
  <c r="O199" i="3"/>
  <c r="O200" i="3"/>
  <c r="O201" i="3"/>
  <c r="O202" i="3"/>
  <c r="O203" i="3"/>
  <c r="O204" i="3"/>
  <c r="O205" i="3"/>
  <c r="O156" i="3"/>
  <c r="O157" i="3"/>
  <c r="O158" i="3"/>
  <c r="O159" i="3"/>
  <c r="O160" i="3"/>
  <c r="O161" i="3"/>
  <c r="O162" i="3"/>
  <c r="O163" i="3"/>
  <c r="O164" i="3"/>
  <c r="O165" i="3"/>
  <c r="O166" i="3"/>
  <c r="O167" i="3"/>
  <c r="O168" i="3"/>
  <c r="O169" i="3"/>
  <c r="O170" i="3"/>
  <c r="O171" i="3"/>
  <c r="O172" i="3"/>
  <c r="O173" i="3"/>
  <c r="O174" i="3"/>
  <c r="O175" i="3"/>
  <c r="O176" i="3"/>
  <c r="O177" i="3"/>
  <c r="O178" i="3"/>
  <c r="O179" i="3"/>
  <c r="O180" i="3"/>
  <c r="O181" i="3"/>
  <c r="O182" i="3"/>
  <c r="O183" i="3"/>
  <c r="O184" i="3"/>
  <c r="O185" i="3"/>
  <c r="O186" i="3"/>
  <c r="O187" i="3"/>
  <c r="O188" i="3"/>
  <c r="O189" i="3"/>
  <c r="O190" i="3"/>
  <c r="O191" i="3"/>
  <c r="O192" i="3"/>
  <c r="O193" i="3"/>
  <c r="O194" i="3"/>
  <c r="O195" i="3"/>
  <c r="O196" i="3"/>
  <c r="O197" i="3"/>
  <c r="O146" i="3"/>
  <c r="O147" i="3"/>
  <c r="O148" i="3"/>
  <c r="O149" i="3"/>
  <c r="O150" i="3"/>
  <c r="O151" i="3"/>
  <c r="O152" i="3"/>
  <c r="O153" i="3"/>
  <c r="O154" i="3"/>
  <c r="O155" i="3"/>
  <c r="F156" i="3"/>
  <c r="F149" i="3"/>
  <c r="V18" i="5" l="1"/>
  <c r="V19" i="5" s="1"/>
  <c r="V20" i="5" s="1"/>
  <c r="V21" i="5" s="1"/>
  <c r="V22" i="5" s="1"/>
  <c r="V23" i="5" s="1"/>
  <c r="V24" i="5" s="1"/>
  <c r="V25" i="5" s="1"/>
  <c r="V26" i="5" s="1"/>
  <c r="V27" i="5" s="1"/>
  <c r="V28" i="5" s="1"/>
  <c r="V29" i="5" s="1"/>
  <c r="V30" i="5" s="1"/>
  <c r="V31" i="5" s="1"/>
  <c r="U148" i="5"/>
  <c r="D57" i="5" s="1"/>
  <c r="Y148" i="5"/>
  <c r="D61" i="5" s="1"/>
  <c r="AH148" i="5"/>
  <c r="D70" i="5" s="1"/>
  <c r="AF148" i="5"/>
  <c r="D68" i="5" s="1"/>
  <c r="W18" i="5"/>
  <c r="W19" i="5" s="1"/>
  <c r="W20" i="5" s="1"/>
  <c r="W21" i="5" s="1"/>
  <c r="W22" i="5" s="1"/>
  <c r="W23" i="5" s="1"/>
  <c r="W24" i="5" s="1"/>
  <c r="W25" i="5" s="1"/>
  <c r="W26" i="5" s="1"/>
  <c r="W27" i="5" s="1"/>
  <c r="W28" i="5" s="1"/>
  <c r="W29" i="5" s="1"/>
  <c r="W30" i="5" s="1"/>
  <c r="W31" i="5" s="1"/>
  <c r="W151" i="5"/>
  <c r="W152" i="5" s="1"/>
  <c r="E59" i="5" s="1"/>
  <c r="I148" i="5"/>
  <c r="D45" i="5" s="1"/>
  <c r="AM148" i="5"/>
  <c r="D75" i="5" s="1"/>
  <c r="AD148" i="5"/>
  <c r="D66" i="5" s="1"/>
  <c r="AI148" i="5"/>
  <c r="D71" i="5" s="1"/>
  <c r="AI18" i="5"/>
  <c r="AI19" i="5" s="1"/>
  <c r="AI20" i="5" s="1"/>
  <c r="AI21" i="5" s="1"/>
  <c r="AI22" i="5" s="1"/>
  <c r="AI23" i="5" s="1"/>
  <c r="AI24" i="5" s="1"/>
  <c r="AI25" i="5" s="1"/>
  <c r="AI26" i="5" s="1"/>
  <c r="AI27" i="5" s="1"/>
  <c r="AI28" i="5" s="1"/>
  <c r="AI29" i="5" s="1"/>
  <c r="AI30" i="5" s="1"/>
  <c r="AI31" i="5" s="1"/>
  <c r="AP148" i="5"/>
  <c r="D78" i="5" s="1"/>
  <c r="AJ148" i="5"/>
  <c r="D72" i="5" s="1"/>
  <c r="Q148" i="5"/>
  <c r="D53" i="5" s="1"/>
  <c r="P148" i="5"/>
  <c r="D52" i="5" s="1"/>
  <c r="M148" i="5"/>
  <c r="D49" i="5" s="1"/>
  <c r="L18" i="5"/>
  <c r="L19" i="5" s="1"/>
  <c r="L20" i="5" s="1"/>
  <c r="L21" i="5" s="1"/>
  <c r="L22" i="5" s="1"/>
  <c r="L23" i="5" s="1"/>
  <c r="L24" i="5" s="1"/>
  <c r="L25" i="5" s="1"/>
  <c r="L26" i="5" s="1"/>
  <c r="L27" i="5" s="1"/>
  <c r="L28" i="5" s="1"/>
  <c r="L29" i="5" s="1"/>
  <c r="L30" i="5" s="1"/>
  <c r="L31" i="5" s="1"/>
  <c r="AF18" i="5"/>
  <c r="AF19" i="5" s="1"/>
  <c r="AF20" i="5" s="1"/>
  <c r="AF21" i="5" s="1"/>
  <c r="AF22" i="5" s="1"/>
  <c r="AF23" i="5" s="1"/>
  <c r="AF24" i="5" s="1"/>
  <c r="AF25" i="5" s="1"/>
  <c r="AF26" i="5" s="1"/>
  <c r="AF27" i="5" s="1"/>
  <c r="AF28" i="5" s="1"/>
  <c r="AF29" i="5" s="1"/>
  <c r="AF30" i="5" s="1"/>
  <c r="AF31" i="5" s="1"/>
  <c r="M18" i="5"/>
  <c r="M19" i="5" s="1"/>
  <c r="M20" i="5" s="1"/>
  <c r="M21" i="5" s="1"/>
  <c r="M22" i="5" s="1"/>
  <c r="M23" i="5" s="1"/>
  <c r="M24" i="5" s="1"/>
  <c r="M25" i="5" s="1"/>
  <c r="M26" i="5" s="1"/>
  <c r="M27" i="5" s="1"/>
  <c r="M28" i="5" s="1"/>
  <c r="M29" i="5" s="1"/>
  <c r="M30" i="5" s="1"/>
  <c r="M31" i="5" s="1"/>
  <c r="N148" i="5"/>
  <c r="D50" i="5" s="1"/>
  <c r="L148" i="5"/>
  <c r="D48" i="5" s="1"/>
  <c r="AR148" i="5"/>
  <c r="D80" i="5" s="1"/>
  <c r="AH18" i="5"/>
  <c r="AH19" i="5" s="1"/>
  <c r="AH20" i="5" s="1"/>
  <c r="AH21" i="5" s="1"/>
  <c r="AH22" i="5" s="1"/>
  <c r="AH23" i="5" s="1"/>
  <c r="AH24" i="5" s="1"/>
  <c r="AH25" i="5" s="1"/>
  <c r="AH26" i="5" s="1"/>
  <c r="AH27" i="5" s="1"/>
  <c r="AH28" i="5" s="1"/>
  <c r="AH29" i="5" s="1"/>
  <c r="AH30" i="5" s="1"/>
  <c r="AH31" i="5" s="1"/>
  <c r="J18" i="5"/>
  <c r="J19" i="5" s="1"/>
  <c r="J20" i="5" s="1"/>
  <c r="J21" i="5" s="1"/>
  <c r="J22" i="5" s="1"/>
  <c r="J23" i="5" s="1"/>
  <c r="J24" i="5" s="1"/>
  <c r="J25" i="5" s="1"/>
  <c r="J26" i="5" s="1"/>
  <c r="J27" i="5" s="1"/>
  <c r="J28" i="5" s="1"/>
  <c r="J29" i="5" s="1"/>
  <c r="J30" i="5" s="1"/>
  <c r="J31" i="5" s="1"/>
  <c r="AM18" i="5"/>
  <c r="AM19" i="5" s="1"/>
  <c r="AM20" i="5" s="1"/>
  <c r="AM21" i="5" s="1"/>
  <c r="AM22" i="5" s="1"/>
  <c r="AM23" i="5" s="1"/>
  <c r="AM24" i="5" s="1"/>
  <c r="AM25" i="5" s="1"/>
  <c r="AM26" i="5" s="1"/>
  <c r="AM27" i="5" s="1"/>
  <c r="AM28" i="5" s="1"/>
  <c r="AM29" i="5" s="1"/>
  <c r="AM30" i="5" s="1"/>
  <c r="AM31" i="5" s="1"/>
  <c r="J148" i="5"/>
  <c r="D46" i="5" s="1"/>
  <c r="K18" i="5"/>
  <c r="K19" i="5" s="1"/>
  <c r="K20" i="5" s="1"/>
  <c r="K21" i="5" s="1"/>
  <c r="K22" i="5" s="1"/>
  <c r="K23" i="5" s="1"/>
  <c r="K24" i="5" s="1"/>
  <c r="K25" i="5" s="1"/>
  <c r="K26" i="5" s="1"/>
  <c r="K27" i="5" s="1"/>
  <c r="K28" i="5" s="1"/>
  <c r="K29" i="5" s="1"/>
  <c r="K30" i="5" s="1"/>
  <c r="K31" i="5" s="1"/>
  <c r="AA18" i="5"/>
  <c r="AA19" i="5" s="1"/>
  <c r="AA20" i="5" s="1"/>
  <c r="AA21" i="5" s="1"/>
  <c r="AA22" i="5" s="1"/>
  <c r="AA23" i="5" s="1"/>
  <c r="AA24" i="5" s="1"/>
  <c r="AA25" i="5" s="1"/>
  <c r="AA26" i="5" s="1"/>
  <c r="AA27" i="5" s="1"/>
  <c r="AA28" i="5" s="1"/>
  <c r="AA29" i="5" s="1"/>
  <c r="AA30" i="5" s="1"/>
  <c r="AA31" i="5" s="1"/>
  <c r="AA148" i="5"/>
  <c r="D63" i="5" s="1"/>
  <c r="K148" i="5"/>
  <c r="D47" i="5" s="1"/>
  <c r="I18" i="5"/>
  <c r="I19" i="5" s="1"/>
  <c r="I20" i="5" s="1"/>
  <c r="I21" i="5" s="1"/>
  <c r="I22" i="5" s="1"/>
  <c r="I23" i="5" s="1"/>
  <c r="I24" i="5" s="1"/>
  <c r="I25" i="5" s="1"/>
  <c r="I26" i="5" s="1"/>
  <c r="I27" i="5" s="1"/>
  <c r="I28" i="5" s="1"/>
  <c r="I29" i="5" s="1"/>
  <c r="I30" i="5" s="1"/>
  <c r="I31" i="5" s="1"/>
  <c r="AC18" i="5"/>
  <c r="AC19" i="5" s="1"/>
  <c r="AC20" i="5" s="1"/>
  <c r="AC21" i="5" s="1"/>
  <c r="AC22" i="5" s="1"/>
  <c r="AC23" i="5" s="1"/>
  <c r="AC24" i="5" s="1"/>
  <c r="AC25" i="5" s="1"/>
  <c r="AC26" i="5" s="1"/>
  <c r="AC27" i="5" s="1"/>
  <c r="AC28" i="5" s="1"/>
  <c r="AC29" i="5" s="1"/>
  <c r="AC30" i="5" s="1"/>
  <c r="AC31" i="5" s="1"/>
  <c r="H148" i="5"/>
  <c r="D44" i="5" s="1"/>
  <c r="R148" i="5"/>
  <c r="D54" i="5" s="1"/>
  <c r="AC148" i="5"/>
  <c r="D65" i="5" s="1"/>
  <c r="X18" i="5"/>
  <c r="X19" i="5" s="1"/>
  <c r="X20" i="5" s="1"/>
  <c r="X21" i="5" s="1"/>
  <c r="X22" i="5" s="1"/>
  <c r="X23" i="5" s="1"/>
  <c r="X24" i="5" s="1"/>
  <c r="X25" i="5" s="1"/>
  <c r="X26" i="5" s="1"/>
  <c r="X27" i="5" s="1"/>
  <c r="X28" i="5" s="1"/>
  <c r="X29" i="5" s="1"/>
  <c r="X30" i="5" s="1"/>
  <c r="X31" i="5" s="1"/>
  <c r="AJ18" i="5"/>
  <c r="AJ19" i="5" s="1"/>
  <c r="AJ20" i="5" s="1"/>
  <c r="AJ21" i="5" s="1"/>
  <c r="AJ22" i="5" s="1"/>
  <c r="AJ23" i="5" s="1"/>
  <c r="AJ24" i="5" s="1"/>
  <c r="AJ25" i="5" s="1"/>
  <c r="AJ26" i="5" s="1"/>
  <c r="AJ27" i="5" s="1"/>
  <c r="AJ28" i="5" s="1"/>
  <c r="AJ29" i="5" s="1"/>
  <c r="AJ30" i="5" s="1"/>
  <c r="AJ31" i="5" s="1"/>
  <c r="O18" i="5"/>
  <c r="O19" i="5" s="1"/>
  <c r="O20" i="5" s="1"/>
  <c r="O21" i="5" s="1"/>
  <c r="O22" i="5" s="1"/>
  <c r="O23" i="5" s="1"/>
  <c r="O24" i="5" s="1"/>
  <c r="O25" i="5" s="1"/>
  <c r="O26" i="5" s="1"/>
  <c r="O27" i="5" s="1"/>
  <c r="O28" i="5" s="1"/>
  <c r="O29" i="5" s="1"/>
  <c r="O30" i="5" s="1"/>
  <c r="O31" i="5" s="1"/>
  <c r="Y18" i="5"/>
  <c r="Y19" i="5" s="1"/>
  <c r="Y20" i="5" s="1"/>
  <c r="Y21" i="5" s="1"/>
  <c r="Y22" i="5" s="1"/>
  <c r="Y23" i="5" s="1"/>
  <c r="Y24" i="5" s="1"/>
  <c r="Y25" i="5" s="1"/>
  <c r="Y26" i="5" s="1"/>
  <c r="Y27" i="5" s="1"/>
  <c r="Y28" i="5" s="1"/>
  <c r="Y29" i="5" s="1"/>
  <c r="Y30" i="5" s="1"/>
  <c r="Y31" i="5" s="1"/>
  <c r="Q18" i="5"/>
  <c r="Q19" i="5" s="1"/>
  <c r="Q20" i="5" s="1"/>
  <c r="Q21" i="5" s="1"/>
  <c r="Q22" i="5" s="1"/>
  <c r="Q23" i="5" s="1"/>
  <c r="Q24" i="5" s="1"/>
  <c r="Q25" i="5" s="1"/>
  <c r="Q26" i="5" s="1"/>
  <c r="Q27" i="5" s="1"/>
  <c r="Q28" i="5" s="1"/>
  <c r="Q29" i="5" s="1"/>
  <c r="Q30" i="5" s="1"/>
  <c r="Q31" i="5" s="1"/>
  <c r="P18" i="5"/>
  <c r="P19" i="5" s="1"/>
  <c r="P20" i="5" s="1"/>
  <c r="P21" i="5" s="1"/>
  <c r="P22" i="5" s="1"/>
  <c r="P23" i="5" s="1"/>
  <c r="P24" i="5" s="1"/>
  <c r="P25" i="5" s="1"/>
  <c r="P26" i="5" s="1"/>
  <c r="P27" i="5" s="1"/>
  <c r="P28" i="5" s="1"/>
  <c r="P29" i="5" s="1"/>
  <c r="P30" i="5" s="1"/>
  <c r="P31" i="5" s="1"/>
  <c r="U18" i="5"/>
  <c r="U19" i="5" s="1"/>
  <c r="U20" i="5" s="1"/>
  <c r="U21" i="5" s="1"/>
  <c r="U22" i="5" s="1"/>
  <c r="U23" i="5" s="1"/>
  <c r="U24" i="5" s="1"/>
  <c r="U25" i="5" s="1"/>
  <c r="U26" i="5" s="1"/>
  <c r="U27" i="5" s="1"/>
  <c r="U28" i="5" s="1"/>
  <c r="U29" i="5" s="1"/>
  <c r="U30" i="5" s="1"/>
  <c r="U31" i="5" s="1"/>
  <c r="S18" i="5"/>
  <c r="S19" i="5" s="1"/>
  <c r="S20" i="5" s="1"/>
  <c r="S21" i="5" s="1"/>
  <c r="S22" i="5" s="1"/>
  <c r="S23" i="5" s="1"/>
  <c r="S24" i="5" s="1"/>
  <c r="S25" i="5" s="1"/>
  <c r="S26" i="5" s="1"/>
  <c r="S27" i="5" s="1"/>
  <c r="S28" i="5" s="1"/>
  <c r="S29" i="5" s="1"/>
  <c r="S30" i="5" s="1"/>
  <c r="S31" i="5" s="1"/>
  <c r="AK148" i="5"/>
  <c r="D73" i="5" s="1"/>
  <c r="AQ18" i="5"/>
  <c r="AQ19" i="5" s="1"/>
  <c r="AQ20" i="5" s="1"/>
  <c r="AQ21" i="5" s="1"/>
  <c r="AQ22" i="5" s="1"/>
  <c r="AQ23" i="5" s="1"/>
  <c r="AQ24" i="5" s="1"/>
  <c r="AQ25" i="5" s="1"/>
  <c r="AQ26" i="5" s="1"/>
  <c r="AQ27" i="5" s="1"/>
  <c r="AQ28" i="5" s="1"/>
  <c r="AQ29" i="5" s="1"/>
  <c r="AQ30" i="5" s="1"/>
  <c r="AQ31" i="5" s="1"/>
  <c r="T148" i="5"/>
  <c r="D56" i="5" s="1"/>
  <c r="AO18" i="5"/>
  <c r="AO19" i="5" s="1"/>
  <c r="AO20" i="5" s="1"/>
  <c r="AO21" i="5" s="1"/>
  <c r="AO22" i="5" s="1"/>
  <c r="AO23" i="5" s="1"/>
  <c r="AO24" i="5" s="1"/>
  <c r="AO25" i="5" s="1"/>
  <c r="AO26" i="5" s="1"/>
  <c r="AO27" i="5" s="1"/>
  <c r="AO28" i="5" s="1"/>
  <c r="AO29" i="5" s="1"/>
  <c r="AO30" i="5" s="1"/>
  <c r="AO31" i="5" s="1"/>
  <c r="AG148" i="5"/>
  <c r="D69" i="5" s="1"/>
  <c r="S148" i="5"/>
  <c r="D55" i="5" s="1"/>
  <c r="AQ148" i="5"/>
  <c r="D79" i="5" s="1"/>
  <c r="AD18" i="5"/>
  <c r="AD19" i="5" s="1"/>
  <c r="AD20" i="5" s="1"/>
  <c r="AD21" i="5" s="1"/>
  <c r="AD22" i="5" s="1"/>
  <c r="AD23" i="5" s="1"/>
  <c r="AD24" i="5" s="1"/>
  <c r="AD25" i="5" s="1"/>
  <c r="AD26" i="5" s="1"/>
  <c r="AD27" i="5" s="1"/>
  <c r="AD28" i="5" s="1"/>
  <c r="AD29" i="5" s="1"/>
  <c r="AD30" i="5" s="1"/>
  <c r="AD31" i="5" s="1"/>
  <c r="AB18" i="5"/>
  <c r="AB19" i="5" s="1"/>
  <c r="AB20" i="5" s="1"/>
  <c r="AB21" i="5" s="1"/>
  <c r="AB22" i="5" s="1"/>
  <c r="AB23" i="5" s="1"/>
  <c r="AB24" i="5" s="1"/>
  <c r="AB25" i="5" s="1"/>
  <c r="AB26" i="5" s="1"/>
  <c r="AB27" i="5" s="1"/>
  <c r="AB28" i="5" s="1"/>
  <c r="AB29" i="5" s="1"/>
  <c r="AB30" i="5" s="1"/>
  <c r="AB31" i="5" s="1"/>
  <c r="AG18" i="5"/>
  <c r="AG19" i="5" s="1"/>
  <c r="AG20" i="5" s="1"/>
  <c r="AG21" i="5" s="1"/>
  <c r="AG22" i="5" s="1"/>
  <c r="AG23" i="5" s="1"/>
  <c r="AG24" i="5" s="1"/>
  <c r="AG25" i="5" s="1"/>
  <c r="AG26" i="5" s="1"/>
  <c r="AG27" i="5" s="1"/>
  <c r="AG28" i="5" s="1"/>
  <c r="AG29" i="5" s="1"/>
  <c r="AG30" i="5" s="1"/>
  <c r="AG31" i="5" s="1"/>
  <c r="T18" i="5"/>
  <c r="T19" i="5" s="1"/>
  <c r="T20" i="5" s="1"/>
  <c r="T21" i="5" s="1"/>
  <c r="T22" i="5" s="1"/>
  <c r="T23" i="5" s="1"/>
  <c r="T24" i="5" s="1"/>
  <c r="T25" i="5" s="1"/>
  <c r="T26" i="5" s="1"/>
  <c r="T27" i="5" s="1"/>
  <c r="T28" i="5" s="1"/>
  <c r="T29" i="5" s="1"/>
  <c r="T30" i="5" s="1"/>
  <c r="T31" i="5" s="1"/>
  <c r="AB148" i="5"/>
  <c r="D64" i="5" s="1"/>
  <c r="AK18" i="5"/>
  <c r="AK19" i="5" s="1"/>
  <c r="AK20" i="5" s="1"/>
  <c r="AK21" i="5" s="1"/>
  <c r="AK22" i="5" s="1"/>
  <c r="AK23" i="5" s="1"/>
  <c r="AK24" i="5" s="1"/>
  <c r="AK25" i="5" s="1"/>
  <c r="AK26" i="5" s="1"/>
  <c r="AK27" i="5" s="1"/>
  <c r="AK28" i="5" s="1"/>
  <c r="AK29" i="5" s="1"/>
  <c r="AK30" i="5" s="1"/>
  <c r="AK31" i="5" s="1"/>
  <c r="AN18" i="5"/>
  <c r="AN19" i="5" s="1"/>
  <c r="AN20" i="5" s="1"/>
  <c r="AN21" i="5" s="1"/>
  <c r="AN22" i="5" s="1"/>
  <c r="AN23" i="5" s="1"/>
  <c r="AN24" i="5" s="1"/>
  <c r="AN25" i="5" s="1"/>
  <c r="AN26" i="5" s="1"/>
  <c r="AN27" i="5" s="1"/>
  <c r="AN28" i="5" s="1"/>
  <c r="AN29" i="5" s="1"/>
  <c r="AN30" i="5" s="1"/>
  <c r="AN31" i="5" s="1"/>
  <c r="AL148" i="5"/>
  <c r="D74" i="5" s="1"/>
  <c r="AS148" i="5"/>
  <c r="D81" i="5" s="1"/>
  <c r="AE148" i="5"/>
  <c r="D67" i="5" s="1"/>
  <c r="AP18" i="5"/>
  <c r="AP19" i="5" s="1"/>
  <c r="AP20" i="5" s="1"/>
  <c r="AP21" i="5" s="1"/>
  <c r="AP22" i="5" s="1"/>
  <c r="AP23" i="5" s="1"/>
  <c r="AP24" i="5" s="1"/>
  <c r="AP25" i="5" s="1"/>
  <c r="AP26" i="5" s="1"/>
  <c r="AP27" i="5" s="1"/>
  <c r="AP28" i="5" s="1"/>
  <c r="AP29" i="5" s="1"/>
  <c r="AP30" i="5" s="1"/>
  <c r="AP31" i="5" s="1"/>
  <c r="AN148" i="5"/>
  <c r="D76" i="5" s="1"/>
  <c r="AO148" i="5"/>
  <c r="D77" i="5" s="1"/>
  <c r="Z148" i="5"/>
  <c r="D62" i="5" s="1"/>
  <c r="AS18" i="5"/>
  <c r="AS19" i="5" s="1"/>
  <c r="AS20" i="5" s="1"/>
  <c r="AS21" i="5" s="1"/>
  <c r="AS22" i="5" s="1"/>
  <c r="AS23" i="5" s="1"/>
  <c r="AS24" i="5" s="1"/>
  <c r="AS25" i="5" s="1"/>
  <c r="AS26" i="5" s="1"/>
  <c r="AS27" i="5" s="1"/>
  <c r="AS28" i="5" s="1"/>
  <c r="AS29" i="5" s="1"/>
  <c r="AS30" i="5" s="1"/>
  <c r="AS31" i="5" s="1"/>
  <c r="R18" i="5"/>
  <c r="R19" i="5" s="1"/>
  <c r="R20" i="5" s="1"/>
  <c r="R21" i="5" s="1"/>
  <c r="R22" i="5" s="1"/>
  <c r="R23" i="5" s="1"/>
  <c r="R24" i="5" s="1"/>
  <c r="R25" i="5" s="1"/>
  <c r="R26" i="5" s="1"/>
  <c r="R27" i="5" s="1"/>
  <c r="R28" i="5" s="1"/>
  <c r="R29" i="5" s="1"/>
  <c r="R30" i="5" s="1"/>
  <c r="R31" i="5" s="1"/>
  <c r="O151" i="5"/>
  <c r="O152" i="5" s="1"/>
  <c r="E51" i="5" s="1"/>
  <c r="AL18" i="5"/>
  <c r="AL19" i="5" s="1"/>
  <c r="AL20" i="5" s="1"/>
  <c r="AL21" i="5" s="1"/>
  <c r="AL22" i="5" s="1"/>
  <c r="AL23" i="5" s="1"/>
  <c r="AL24" i="5" s="1"/>
  <c r="AL25" i="5" s="1"/>
  <c r="AL26" i="5" s="1"/>
  <c r="AL27" i="5" s="1"/>
  <c r="AL28" i="5" s="1"/>
  <c r="AL29" i="5" s="1"/>
  <c r="AL30" i="5" s="1"/>
  <c r="AL31" i="5" s="1"/>
  <c r="Z18" i="5"/>
  <c r="Z19" i="5" s="1"/>
  <c r="Z20" i="5" s="1"/>
  <c r="Z21" i="5" s="1"/>
  <c r="Z22" i="5" s="1"/>
  <c r="Z23" i="5" s="1"/>
  <c r="Z24" i="5" s="1"/>
  <c r="Z25" i="5" s="1"/>
  <c r="Z26" i="5" s="1"/>
  <c r="Z27" i="5" s="1"/>
  <c r="Z28" i="5" s="1"/>
  <c r="Z29" i="5" s="1"/>
  <c r="Z30" i="5" s="1"/>
  <c r="Z31" i="5" s="1"/>
  <c r="N18" i="5"/>
  <c r="N19" i="5" s="1"/>
  <c r="N20" i="5" s="1"/>
  <c r="N21" i="5" s="1"/>
  <c r="N22" i="5" s="1"/>
  <c r="N23" i="5" s="1"/>
  <c r="N24" i="5" s="1"/>
  <c r="N25" i="5" s="1"/>
  <c r="N26" i="5" s="1"/>
  <c r="N27" i="5" s="1"/>
  <c r="N28" i="5" s="1"/>
  <c r="N29" i="5" s="1"/>
  <c r="N30" i="5" s="1"/>
  <c r="N31" i="5" s="1"/>
  <c r="AR18" i="5"/>
  <c r="AR19" i="5" s="1"/>
  <c r="AR20" i="5" s="1"/>
  <c r="AR21" i="5" s="1"/>
  <c r="AR22" i="5" s="1"/>
  <c r="AR23" i="5" s="1"/>
  <c r="AR24" i="5" s="1"/>
  <c r="AR25" i="5" s="1"/>
  <c r="AR26" i="5" s="1"/>
  <c r="AR27" i="5" s="1"/>
  <c r="AR28" i="5" s="1"/>
  <c r="AR29" i="5" s="1"/>
  <c r="AR30" i="5" s="1"/>
  <c r="AR31" i="5" s="1"/>
  <c r="X151" i="5"/>
  <c r="X152" i="5" s="1"/>
  <c r="E60" i="5" s="1"/>
  <c r="AE16" i="5"/>
  <c r="AE15" i="5" s="1"/>
  <c r="AE14" i="5" s="1"/>
  <c r="AE13" i="5" s="1"/>
  <c r="AE12" i="5" s="1"/>
  <c r="AE11" i="5" s="1"/>
  <c r="AE10" i="5" s="1"/>
  <c r="AE9" i="5" s="1"/>
  <c r="AE8" i="5" s="1"/>
  <c r="AE7" i="5" s="1"/>
  <c r="AE6" i="5" s="1"/>
  <c r="AE5" i="5" s="1"/>
  <c r="AE4" i="5" s="1"/>
  <c r="U151" i="5"/>
  <c r="I151" i="5"/>
  <c r="I152" i="5" s="1"/>
  <c r="E45" i="5" s="1"/>
  <c r="Y151" i="5"/>
  <c r="Y152" i="5" s="1"/>
  <c r="E61" i="5" s="1"/>
  <c r="M151" i="5"/>
  <c r="M152" i="5" s="1"/>
  <c r="E49" i="5" s="1"/>
  <c r="AP151" i="5"/>
  <c r="AP152" i="5" s="1"/>
  <c r="E78" i="5" s="1"/>
  <c r="Q151" i="5"/>
  <c r="Q152" i="5" s="1"/>
  <c r="E53" i="5" s="1"/>
  <c r="AH151" i="5"/>
  <c r="AH152" i="5" s="1"/>
  <c r="E70" i="5" s="1"/>
  <c r="V151" i="5"/>
  <c r="V152" i="5" s="1"/>
  <c r="E58" i="5" s="1"/>
  <c r="AF151" i="5"/>
  <c r="AF152" i="5" s="1"/>
  <c r="E68" i="5" s="1"/>
  <c r="J151" i="5" l="1"/>
  <c r="J152" i="5" s="1"/>
  <c r="E46" i="5" s="1"/>
  <c r="AK151" i="5"/>
  <c r="AK152" i="5" s="1"/>
  <c r="E73" i="5" s="1"/>
  <c r="P151" i="5"/>
  <c r="P152" i="5" s="1"/>
  <c r="E52" i="5" s="1"/>
  <c r="R151" i="5"/>
  <c r="R152" i="5" s="1"/>
  <c r="E54" i="5" s="1"/>
  <c r="AR151" i="5"/>
  <c r="AR152" i="5" s="1"/>
  <c r="E80" i="5" s="1"/>
  <c r="AS151" i="5"/>
  <c r="AS152" i="5" s="1"/>
  <c r="E81" i="5" s="1"/>
  <c r="AB151" i="5"/>
  <c r="AB152" i="5" s="1"/>
  <c r="E64" i="5" s="1"/>
  <c r="AD151" i="5"/>
  <c r="AD152" i="5" s="1"/>
  <c r="E66" i="5" s="1"/>
  <c r="AM151" i="5"/>
  <c r="AM152" i="5" s="1"/>
  <c r="E75" i="5" s="1"/>
  <c r="N151" i="5"/>
  <c r="N152" i="5" s="1"/>
  <c r="E50" i="5" s="1"/>
  <c r="AQ151" i="5"/>
  <c r="AQ152" i="5" s="1"/>
  <c r="E79" i="5" s="1"/>
  <c r="K151" i="5"/>
  <c r="K152" i="5" s="1"/>
  <c r="E47" i="5" s="1"/>
  <c r="AC151" i="5"/>
  <c r="AC152" i="5" s="1"/>
  <c r="E65" i="5" s="1"/>
  <c r="AE151" i="5"/>
  <c r="AE152" i="5" s="1"/>
  <c r="E67" i="5" s="1"/>
  <c r="AG151" i="5"/>
  <c r="AG152" i="5" s="1"/>
  <c r="E69" i="5" s="1"/>
  <c r="H151" i="5"/>
  <c r="H152" i="5" s="1"/>
  <c r="E44" i="5" s="1"/>
  <c r="AJ151" i="5"/>
  <c r="AJ152" i="5" s="1"/>
  <c r="E72" i="5" s="1"/>
  <c r="L151" i="5"/>
  <c r="L152" i="5" s="1"/>
  <c r="E48" i="5" s="1"/>
  <c r="S151" i="5"/>
  <c r="S152" i="5" s="1"/>
  <c r="E55" i="5" s="1"/>
  <c r="AI151" i="5"/>
  <c r="AI152" i="5" s="1"/>
  <c r="E71" i="5" s="1"/>
  <c r="T151" i="5"/>
  <c r="T152" i="5" s="1"/>
  <c r="E56" i="5" s="1"/>
  <c r="AA151" i="5"/>
  <c r="AA152" i="5" s="1"/>
  <c r="E63" i="5" s="1"/>
  <c r="U152" i="5"/>
  <c r="E57" i="5" s="1"/>
  <c r="AN151" i="5"/>
  <c r="AN152" i="5" s="1"/>
  <c r="E76" i="5" s="1"/>
  <c r="AO151" i="5"/>
  <c r="AO152" i="5" s="1"/>
  <c r="E77" i="5" s="1"/>
  <c r="AL151" i="5"/>
  <c r="AL152" i="5" s="1"/>
  <c r="E74" i="5" s="1"/>
  <c r="Z151" i="5"/>
  <c r="Z152" i="5" s="1"/>
  <c r="E62" i="5" s="1"/>
  <c r="D39" i="2" l="1"/>
  <c r="E14" i="2"/>
  <c r="E15" i="2"/>
  <c r="E16" i="2"/>
  <c r="E17" i="2"/>
  <c r="E18" i="2"/>
  <c r="E19" i="2"/>
  <c r="E20" i="2"/>
  <c r="E21" i="2"/>
  <c r="E22" i="2"/>
  <c r="C352" i="3" l="1"/>
  <c r="C348" i="3"/>
  <c r="B352" i="3"/>
  <c r="B348" i="3"/>
  <c r="B349" i="3"/>
  <c r="C351" i="3"/>
  <c r="C347" i="3"/>
  <c r="B351" i="3"/>
  <c r="B347" i="3"/>
  <c r="B350" i="3"/>
  <c r="C346" i="3"/>
  <c r="C349" i="3"/>
  <c r="C350" i="3"/>
  <c r="B7" i="2"/>
  <c r="B8" i="2"/>
  <c r="D316" i="3"/>
  <c r="D317" i="3"/>
  <c r="D156" i="3"/>
  <c r="D149" i="3"/>
  <c r="D7" i="3"/>
  <c r="D11" i="3"/>
  <c r="D57" i="3"/>
  <c r="D37" i="3"/>
  <c r="D78" i="3"/>
  <c r="D99" i="3"/>
  <c r="D144" i="3"/>
  <c r="D158" i="3"/>
  <c r="D183" i="3"/>
  <c r="D197" i="3"/>
  <c r="D224" i="3"/>
  <c r="D236" i="3"/>
  <c r="D265" i="3"/>
  <c r="D278" i="3"/>
  <c r="D284" i="3"/>
  <c r="D309" i="3"/>
  <c r="D322" i="3"/>
  <c r="D366" i="3"/>
  <c r="D4" i="3"/>
  <c r="D8" i="3"/>
  <c r="D12" i="3"/>
  <c r="D18" i="3"/>
  <c r="D25" i="3"/>
  <c r="D33" i="3"/>
  <c r="D40" i="3"/>
  <c r="D74" i="3"/>
  <c r="D84" i="3"/>
  <c r="D95" i="3"/>
  <c r="D115" i="3"/>
  <c r="D140" i="3"/>
  <c r="D160" i="3"/>
  <c r="D181" i="3"/>
  <c r="D192" i="3"/>
  <c r="D208" i="3"/>
  <c r="D226" i="3"/>
  <c r="D232" i="3"/>
  <c r="D261" i="3"/>
  <c r="D274" i="3"/>
  <c r="D304" i="3"/>
  <c r="D314" i="3"/>
  <c r="D325" i="3"/>
  <c r="D371" i="3"/>
  <c r="D3" i="3"/>
  <c r="D16" i="3"/>
  <c r="D44" i="3"/>
  <c r="D89" i="3"/>
  <c r="D119" i="3"/>
  <c r="D171" i="3"/>
  <c r="D5" i="3"/>
  <c r="D13" i="3"/>
  <c r="D20" i="3"/>
  <c r="D26" i="3"/>
  <c r="D52" i="3"/>
  <c r="D64" i="3"/>
  <c r="D70" i="3"/>
  <c r="D107" i="3"/>
  <c r="D127" i="3"/>
  <c r="D131" i="3"/>
  <c r="D157" i="3"/>
  <c r="D167" i="3"/>
  <c r="D177" i="3"/>
  <c r="D205" i="3"/>
  <c r="D215" i="3"/>
  <c r="D244" i="3"/>
  <c r="D249" i="3"/>
  <c r="D267" i="3"/>
  <c r="D292" i="3"/>
  <c r="D300" i="3"/>
  <c r="D318" i="3"/>
  <c r="D331" i="3"/>
  <c r="D356" i="3"/>
  <c r="S1" i="3"/>
  <c r="D370" i="3"/>
  <c r="D365" i="3"/>
  <c r="D360" i="3"/>
  <c r="D355" i="3"/>
  <c r="D335" i="3"/>
  <c r="D332" i="3"/>
  <c r="D326" i="3"/>
  <c r="D323" i="3"/>
  <c r="D324" i="3"/>
  <c r="D319" i="3"/>
  <c r="D315" i="3"/>
  <c r="D310" i="3"/>
  <c r="D297" i="3"/>
  <c r="D301" i="3"/>
  <c r="D305" i="3"/>
  <c r="D285" i="3"/>
  <c r="D289" i="3"/>
  <c r="D293" i="3"/>
  <c r="D275" i="3"/>
  <c r="D279" i="3"/>
  <c r="D269" i="3"/>
  <c r="D258" i="3"/>
  <c r="D262" i="3"/>
  <c r="D266" i="3"/>
  <c r="D253" i="3"/>
  <c r="D250" i="3"/>
  <c r="D233" i="3"/>
  <c r="D237" i="3"/>
  <c r="D241" i="3"/>
  <c r="D245" i="3"/>
  <c r="D227" i="3"/>
  <c r="D221" i="3"/>
  <c r="D212" i="3"/>
  <c r="D216" i="3"/>
  <c r="D209" i="3"/>
  <c r="D198" i="3"/>
  <c r="D202" i="3"/>
  <c r="D195" i="3"/>
  <c r="D193" i="3"/>
  <c r="D184" i="3"/>
  <c r="D188" i="3"/>
  <c r="D178" i="3"/>
  <c r="D175" i="3"/>
  <c r="D172" i="3"/>
  <c r="D164" i="3"/>
  <c r="D163" i="3"/>
  <c r="D148" i="3"/>
  <c r="D153" i="3"/>
  <c r="D147" i="3"/>
  <c r="D141" i="3"/>
  <c r="D145" i="3"/>
  <c r="D133" i="3"/>
  <c r="D112" i="3"/>
  <c r="D116" i="3"/>
  <c r="D120" i="3"/>
  <c r="D124" i="3"/>
  <c r="D128" i="3"/>
  <c r="D96" i="3"/>
  <c r="D100" i="3"/>
  <c r="D104" i="3"/>
  <c r="D108" i="3"/>
  <c r="D85" i="3"/>
  <c r="D90" i="3"/>
  <c r="D83" i="3"/>
  <c r="D71" i="3"/>
  <c r="D75" i="3"/>
  <c r="D79" i="3"/>
  <c r="D61" i="3"/>
  <c r="D65" i="3"/>
  <c r="D41" i="3"/>
  <c r="D45" i="3"/>
  <c r="D49" i="3"/>
  <c r="D53" i="3"/>
  <c r="D34" i="3"/>
  <c r="D38" i="3"/>
  <c r="D29" i="3"/>
  <c r="D22" i="3"/>
  <c r="D21" i="3"/>
  <c r="D130" i="3"/>
  <c r="D17" i="3"/>
  <c r="D369" i="3"/>
  <c r="D364" i="3"/>
  <c r="D359" i="3"/>
  <c r="D354" i="3"/>
  <c r="D336" i="3"/>
  <c r="D333" i="3"/>
  <c r="D327" i="3"/>
  <c r="D334" i="3"/>
  <c r="D320" i="3"/>
  <c r="D312" i="3"/>
  <c r="D311" i="3"/>
  <c r="D298" i="3"/>
  <c r="D302" i="3"/>
  <c r="D306" i="3"/>
  <c r="D286" i="3"/>
  <c r="D290" i="3"/>
  <c r="D283" i="3"/>
  <c r="D276" i="3"/>
  <c r="D280" i="3"/>
  <c r="D270" i="3"/>
  <c r="D259" i="3"/>
  <c r="D263" i="3"/>
  <c r="D257" i="3"/>
  <c r="D252" i="3"/>
  <c r="D247" i="3"/>
  <c r="D234" i="3"/>
  <c r="D238" i="3"/>
  <c r="D242" i="3"/>
  <c r="D230" i="3"/>
  <c r="D228" i="3"/>
  <c r="D222" i="3"/>
  <c r="D213" i="3"/>
  <c r="D217" i="3"/>
  <c r="D207" i="3"/>
  <c r="D199" i="3"/>
  <c r="D203" i="3"/>
  <c r="D190" i="3"/>
  <c r="D194" i="3"/>
  <c r="D185" i="3"/>
  <c r="D182" i="3"/>
  <c r="D179" i="3"/>
  <c r="D169" i="3"/>
  <c r="D173" i="3"/>
  <c r="D165" i="3"/>
  <c r="D159" i="3"/>
  <c r="D161" i="3"/>
  <c r="D150" i="3"/>
  <c r="D154" i="3"/>
  <c r="D138" i="3"/>
  <c r="D142" i="3"/>
  <c r="D146" i="3"/>
  <c r="D134" i="3"/>
  <c r="D113" i="3"/>
  <c r="D117" i="3"/>
  <c r="D121" i="3"/>
  <c r="D125" i="3"/>
  <c r="D129" i="3"/>
  <c r="D97" i="3"/>
  <c r="D101" i="3"/>
  <c r="D105" i="3"/>
  <c r="D109" i="3"/>
  <c r="D86" i="3"/>
  <c r="D91" i="3"/>
  <c r="D81" i="3"/>
  <c r="D72" i="3"/>
  <c r="D76" i="3"/>
  <c r="D68" i="3"/>
  <c r="D62" i="3"/>
  <c r="D66" i="3"/>
  <c r="D42" i="3"/>
  <c r="D46" i="3"/>
  <c r="D50" i="3"/>
  <c r="D54" i="3"/>
  <c r="D35" i="3"/>
  <c r="D32" i="3"/>
  <c r="D30" i="3"/>
  <c r="D23" i="3"/>
  <c r="D372" i="3"/>
  <c r="D367" i="3"/>
  <c r="D362" i="3"/>
  <c r="D357" i="3"/>
  <c r="D337" i="3"/>
  <c r="D329" i="3"/>
  <c r="D321" i="3"/>
  <c r="D330" i="3"/>
  <c r="D313" i="3"/>
  <c r="D308" i="3"/>
  <c r="D307" i="3"/>
  <c r="D299" i="3"/>
  <c r="D303" i="3"/>
  <c r="D295" i="3"/>
  <c r="D287" i="3"/>
  <c r="D291" i="3"/>
  <c r="D273" i="3"/>
  <c r="D277" i="3"/>
  <c r="D272" i="3"/>
  <c r="D271" i="3"/>
  <c r="D260" i="3"/>
  <c r="D264" i="3"/>
  <c r="D256" i="3"/>
  <c r="D248" i="3"/>
  <c r="D231" i="3"/>
  <c r="D235" i="3"/>
  <c r="D239" i="3"/>
  <c r="D243" i="3"/>
  <c r="D225" i="3"/>
  <c r="D229" i="3"/>
  <c r="D220" i="3"/>
  <c r="D214" i="3"/>
  <c r="D211" i="3"/>
  <c r="D196" i="3"/>
  <c r="D200" i="3"/>
  <c r="D204" i="3"/>
  <c r="D191" i="3"/>
  <c r="D189" i="3"/>
  <c r="D186" i="3"/>
  <c r="D176" i="3"/>
  <c r="D180" i="3"/>
  <c r="D170" i="3"/>
  <c r="D174" i="3"/>
  <c r="D166" i="3"/>
  <c r="D162" i="3"/>
  <c r="D151" i="3"/>
  <c r="D155" i="3"/>
  <c r="D139" i="3"/>
  <c r="D143" i="3"/>
  <c r="D137" i="3"/>
  <c r="D135" i="3"/>
  <c r="D114" i="3"/>
  <c r="D118" i="3"/>
  <c r="D122" i="3"/>
  <c r="D126" i="3"/>
  <c r="D111" i="3"/>
  <c r="D98" i="3"/>
  <c r="D102" i="3"/>
  <c r="D106" i="3"/>
  <c r="D94" i="3"/>
  <c r="D88" i="3"/>
  <c r="D92" i="3"/>
  <c r="D69" i="3"/>
  <c r="D73" i="3"/>
  <c r="D77" i="3"/>
  <c r="D59" i="3"/>
  <c r="D63" i="3"/>
  <c r="D58" i="3"/>
  <c r="D43" i="3"/>
  <c r="D47" i="3"/>
  <c r="D51" i="3"/>
  <c r="D39" i="3"/>
  <c r="D36" i="3"/>
  <c r="D27" i="3"/>
  <c r="D31" i="3"/>
  <c r="D24" i="3"/>
  <c r="D56" i="3"/>
  <c r="D19" i="3"/>
  <c r="D15" i="3"/>
  <c r="D9" i="3"/>
  <c r="D6" i="3"/>
  <c r="D10" i="3"/>
  <c r="D14" i="3"/>
  <c r="D254" i="3"/>
  <c r="D28" i="3"/>
  <c r="D48" i="3"/>
  <c r="D60" i="3"/>
  <c r="D93" i="3"/>
  <c r="D103" i="3"/>
  <c r="D123" i="3"/>
  <c r="D132" i="3"/>
  <c r="D152" i="3"/>
  <c r="D168" i="3"/>
  <c r="D187" i="3"/>
  <c r="D201" i="3"/>
  <c r="D219" i="3"/>
  <c r="D240" i="3"/>
  <c r="D255" i="3"/>
  <c r="D268" i="3"/>
  <c r="D288" i="3"/>
  <c r="D296" i="3"/>
  <c r="D328" i="3"/>
  <c r="D361" i="3"/>
  <c r="X4" i="3"/>
  <c r="X5" i="3"/>
  <c r="X6" i="3"/>
  <c r="X7" i="3"/>
  <c r="X8" i="3"/>
  <c r="X9" i="3"/>
  <c r="X10" i="3"/>
  <c r="X11" i="3"/>
  <c r="X12" i="3"/>
  <c r="X13" i="3"/>
  <c r="X14" i="3"/>
  <c r="X15" i="3"/>
  <c r="X16" i="3"/>
  <c r="X17" i="3"/>
  <c r="X18" i="3"/>
  <c r="X19" i="3"/>
  <c r="X20" i="3"/>
  <c r="X21" i="3"/>
  <c r="X22" i="3"/>
  <c r="X23" i="3"/>
  <c r="X24" i="3"/>
  <c r="X25" i="3"/>
  <c r="X26" i="3"/>
  <c r="X27" i="3"/>
  <c r="X28" i="3"/>
  <c r="X29" i="3"/>
  <c r="X30" i="3"/>
  <c r="X31" i="3"/>
  <c r="X32" i="3"/>
  <c r="X33" i="3"/>
  <c r="X34" i="3"/>
  <c r="X35" i="3"/>
  <c r="X36" i="3"/>
  <c r="X37" i="3"/>
  <c r="X38" i="3"/>
  <c r="X39" i="3"/>
  <c r="X40" i="3"/>
  <c r="X41" i="3"/>
  <c r="X42" i="3"/>
  <c r="X43" i="3"/>
  <c r="X44" i="3"/>
  <c r="X45" i="3"/>
  <c r="X46" i="3"/>
  <c r="X47" i="3"/>
  <c r="X3" i="3"/>
  <c r="W4" i="3"/>
  <c r="W5" i="3"/>
  <c r="W6" i="3"/>
  <c r="W7" i="3"/>
  <c r="W8" i="3"/>
  <c r="W9" i="3"/>
  <c r="W10" i="3"/>
  <c r="W11" i="3"/>
  <c r="W12" i="3"/>
  <c r="W13" i="3"/>
  <c r="W14" i="3"/>
  <c r="W15" i="3"/>
  <c r="W16" i="3"/>
  <c r="W17" i="3"/>
  <c r="W18" i="3"/>
  <c r="W19" i="3"/>
  <c r="W20" i="3"/>
  <c r="W21" i="3"/>
  <c r="W22" i="3"/>
  <c r="W23" i="3"/>
  <c r="W24" i="3"/>
  <c r="W25" i="3"/>
  <c r="W26" i="3"/>
  <c r="W27" i="3"/>
  <c r="W28" i="3"/>
  <c r="W29" i="3"/>
  <c r="W30" i="3"/>
  <c r="W31" i="3"/>
  <c r="W32" i="3"/>
  <c r="W33" i="3"/>
  <c r="W34" i="3"/>
  <c r="W35" i="3"/>
  <c r="W36" i="3"/>
  <c r="W37" i="3"/>
  <c r="W38" i="3"/>
  <c r="W39" i="3"/>
  <c r="W40" i="3"/>
  <c r="W41" i="3"/>
  <c r="W42" i="3"/>
  <c r="W43" i="3"/>
  <c r="W44" i="3"/>
  <c r="W45" i="3"/>
  <c r="W46" i="3"/>
  <c r="W47" i="3"/>
  <c r="W3" i="3"/>
  <c r="V4" i="3"/>
  <c r="V5" i="3"/>
  <c r="V6" i="3"/>
  <c r="V7" i="3"/>
  <c r="V8" i="3"/>
  <c r="V9" i="3"/>
  <c r="V10" i="3"/>
  <c r="V11" i="3"/>
  <c r="V12" i="3"/>
  <c r="V13" i="3"/>
  <c r="V14" i="3"/>
  <c r="V15" i="3"/>
  <c r="V16" i="3"/>
  <c r="V17" i="3"/>
  <c r="V18" i="3"/>
  <c r="V19" i="3"/>
  <c r="V20" i="3"/>
  <c r="V21" i="3"/>
  <c r="V22" i="3"/>
  <c r="V23" i="3"/>
  <c r="V24" i="3"/>
  <c r="V25" i="3"/>
  <c r="V26" i="3"/>
  <c r="V27" i="3"/>
  <c r="V28" i="3"/>
  <c r="V29" i="3"/>
  <c r="V30" i="3"/>
  <c r="V31" i="3"/>
  <c r="V32" i="3"/>
  <c r="V33" i="3"/>
  <c r="V34" i="3"/>
  <c r="V35" i="3"/>
  <c r="V36" i="3"/>
  <c r="V37" i="3"/>
  <c r="V38" i="3"/>
  <c r="V39" i="3"/>
  <c r="V40" i="3"/>
  <c r="V41" i="3"/>
  <c r="V42" i="3"/>
  <c r="V43" i="3"/>
  <c r="V44" i="3"/>
  <c r="V45" i="3"/>
  <c r="V46" i="3"/>
  <c r="V47" i="3"/>
  <c r="V3" i="3"/>
  <c r="C8" i="2" l="1"/>
  <c r="C13" i="7"/>
  <c r="G37" i="2"/>
  <c r="I37" i="2"/>
  <c r="F203" i="3"/>
  <c r="F204" i="3"/>
  <c r="F198" i="3"/>
  <c r="F199" i="3"/>
  <c r="O94" i="3"/>
  <c r="O82" i="3"/>
  <c r="O80" i="3"/>
  <c r="O110" i="3"/>
  <c r="F70" i="3"/>
  <c r="O70" i="3"/>
  <c r="F59" i="2" l="1"/>
  <c r="B2" i="4" l="1"/>
  <c r="FE2" i="4"/>
  <c r="A3" i="4"/>
  <c r="B3" i="4" s="1"/>
  <c r="C3" i="4"/>
  <c r="C4" i="4" s="1"/>
  <c r="C5" i="4" s="1"/>
  <c r="C6" i="4" s="1"/>
  <c r="C7" i="4" s="1"/>
  <c r="C8" i="4" s="1"/>
  <c r="C9" i="4" s="1"/>
  <c r="C10" i="4" s="1"/>
  <c r="C11" i="4" s="1"/>
  <c r="C12" i="4" s="1"/>
  <c r="C13" i="4" s="1"/>
  <c r="C14" i="4" s="1"/>
  <c r="C15" i="4" s="1"/>
  <c r="C16" i="4" s="1"/>
  <c r="C17" i="4" s="1"/>
  <c r="C18" i="4" s="1"/>
  <c r="C19" i="4" s="1"/>
  <c r="C20" i="4" s="1"/>
  <c r="C21" i="4" s="1"/>
  <c r="C22" i="4" s="1"/>
  <c r="C23" i="4" s="1"/>
  <c r="C24" i="4" s="1"/>
  <c r="C25" i="4" s="1"/>
  <c r="C26" i="4" s="1"/>
  <c r="C27" i="4" s="1"/>
  <c r="C28" i="4" s="1"/>
  <c r="C29" i="4" s="1"/>
  <c r="C30" i="4" s="1"/>
  <c r="C31" i="4" s="1"/>
  <c r="C32" i="4" s="1"/>
  <c r="C33" i="4" s="1"/>
  <c r="C34" i="4" s="1"/>
  <c r="C35" i="4" s="1"/>
  <c r="C36" i="4" s="1"/>
  <c r="C37" i="4" s="1"/>
  <c r="C38" i="4" s="1"/>
  <c r="C39" i="4" s="1"/>
  <c r="C40" i="4" s="1"/>
  <c r="C41" i="4" s="1"/>
  <c r="C42" i="4" s="1"/>
  <c r="C43" i="4" s="1"/>
  <c r="C44" i="4" s="1"/>
  <c r="C45" i="4" s="1"/>
  <c r="C46" i="4" s="1"/>
  <c r="C47" i="4" s="1"/>
  <c r="C48" i="4" s="1"/>
  <c r="C49" i="4" s="1"/>
  <c r="C50" i="4" s="1"/>
  <c r="C51" i="4" s="1"/>
  <c r="C52" i="4" s="1"/>
  <c r="C53" i="4" s="1"/>
  <c r="C54" i="4" s="1"/>
  <c r="C55" i="4" s="1"/>
  <c r="C56" i="4" s="1"/>
  <c r="C57" i="4" s="1"/>
  <c r="C58" i="4" s="1"/>
  <c r="C59" i="4" s="1"/>
  <c r="C60" i="4" s="1"/>
  <c r="C61" i="4" s="1"/>
  <c r="C62" i="4" s="1"/>
  <c r="C63" i="4" s="1"/>
  <c r="C64" i="4" s="1"/>
  <c r="C65" i="4" s="1"/>
  <c r="C66" i="4" s="1"/>
  <c r="C67" i="4" s="1"/>
  <c r="C68" i="4" s="1"/>
  <c r="C69" i="4" s="1"/>
  <c r="C70" i="4" s="1"/>
  <c r="C71" i="4" s="1"/>
  <c r="C72" i="4" s="1"/>
  <c r="C73" i="4" s="1"/>
  <c r="C74" i="4" s="1"/>
  <c r="C75" i="4" s="1"/>
  <c r="C76" i="4" s="1"/>
  <c r="C77" i="4" s="1"/>
  <c r="C78" i="4" s="1"/>
  <c r="C79" i="4" s="1"/>
  <c r="C80" i="4" s="1"/>
  <c r="C81" i="4" s="1"/>
  <c r="C82" i="4" s="1"/>
  <c r="C83" i="4" s="1"/>
  <c r="C84" i="4" s="1"/>
  <c r="C85" i="4" s="1"/>
  <c r="C86" i="4" s="1"/>
  <c r="C87" i="4" s="1"/>
  <c r="C88" i="4" s="1"/>
  <c r="C89" i="4" s="1"/>
  <c r="C90" i="4" s="1"/>
  <c r="C91" i="4" s="1"/>
  <c r="FE3" i="4"/>
  <c r="FE4" i="4"/>
  <c r="FE5" i="4"/>
  <c r="FE6" i="4"/>
  <c r="FE7" i="4"/>
  <c r="FE8" i="4"/>
  <c r="FE9" i="4"/>
  <c r="FE10" i="4"/>
  <c r="FE11" i="4"/>
  <c r="FE12" i="4"/>
  <c r="FE13" i="4"/>
  <c r="FE14" i="4"/>
  <c r="FE15" i="4"/>
  <c r="FE16" i="4"/>
  <c r="FE17" i="4"/>
  <c r="FE18" i="4"/>
  <c r="FE19" i="4"/>
  <c r="FE20" i="4"/>
  <c r="FE21" i="4"/>
  <c r="FE22" i="4"/>
  <c r="FE23" i="4"/>
  <c r="FE32" i="4"/>
  <c r="FE35" i="4"/>
  <c r="FE36" i="4"/>
  <c r="FE37" i="4"/>
  <c r="FE38" i="4"/>
  <c r="FE40" i="4"/>
  <c r="FE41" i="4"/>
  <c r="FE42" i="4"/>
  <c r="FE43" i="4"/>
  <c r="AA59" i="4"/>
  <c r="AA117" i="4" s="1"/>
  <c r="AA129" i="4" s="1"/>
  <c r="AA144" i="4" s="1"/>
  <c r="AB59" i="4"/>
  <c r="AB117" i="4" s="1"/>
  <c r="AB129" i="4" s="1"/>
  <c r="AB144" i="4" s="1"/>
  <c r="AB158" i="4" s="1"/>
  <c r="AB163" i="4" s="1"/>
  <c r="AB176" i="4" s="1"/>
  <c r="AC59" i="4"/>
  <c r="AC117" i="4" s="1"/>
  <c r="AC129" i="4" s="1"/>
  <c r="AC144" i="4" s="1"/>
  <c r="AC158" i="4" s="1"/>
  <c r="AC163" i="4" s="1"/>
  <c r="AC176" i="4" s="1"/>
  <c r="AD59" i="4"/>
  <c r="AD117" i="4" s="1"/>
  <c r="AD129" i="4" s="1"/>
  <c r="AD144" i="4" s="1"/>
  <c r="AD158" i="4" s="1"/>
  <c r="AD163" i="4" s="1"/>
  <c r="AD176" i="4" s="1"/>
  <c r="AX59" i="4"/>
  <c r="AY59" i="4"/>
  <c r="AZ59" i="4"/>
  <c r="BA59" i="4"/>
  <c r="BB59" i="4"/>
  <c r="BC59" i="4"/>
  <c r="BD59" i="4"/>
  <c r="BE59" i="4"/>
  <c r="BF59" i="4"/>
  <c r="BG59" i="4"/>
  <c r="BH59" i="4"/>
  <c r="BI59" i="4"/>
  <c r="BJ59" i="4"/>
  <c r="BK59" i="4"/>
  <c r="BL59" i="4"/>
  <c r="BM59" i="4"/>
  <c r="BN59" i="4"/>
  <c r="BO59" i="4"/>
  <c r="BP59" i="4"/>
  <c r="BQ59" i="4"/>
  <c r="BR59" i="4"/>
  <c r="BS59" i="4"/>
  <c r="BT59" i="4"/>
  <c r="BU59" i="4"/>
  <c r="BV59" i="4"/>
  <c r="BW59" i="4"/>
  <c r="BX59" i="4"/>
  <c r="BY59" i="4"/>
  <c r="BZ59" i="4"/>
  <c r="CA59" i="4"/>
  <c r="CB59" i="4"/>
  <c r="CC59" i="4"/>
  <c r="CD59" i="4"/>
  <c r="CE59" i="4"/>
  <c r="CF59" i="4"/>
  <c r="CG59" i="4"/>
  <c r="CH59" i="4"/>
  <c r="CI59" i="4"/>
  <c r="CJ59" i="4"/>
  <c r="CK59" i="4"/>
  <c r="CL59" i="4"/>
  <c r="CM59" i="4"/>
  <c r="CN59" i="4"/>
  <c r="CO59" i="4"/>
  <c r="CP59" i="4"/>
  <c r="CQ59" i="4"/>
  <c r="CS59" i="4"/>
  <c r="CS117" i="4" s="1"/>
  <c r="CS129" i="4" s="1"/>
  <c r="CS144" i="4" s="1"/>
  <c r="CS158" i="4" s="1"/>
  <c r="CS163" i="4" s="1"/>
  <c r="CT59" i="4"/>
  <c r="CT117" i="4" s="1"/>
  <c r="CT129" i="4" s="1"/>
  <c r="CT144" i="4" s="1"/>
  <c r="CT158" i="4" s="1"/>
  <c r="CT163" i="4" s="1"/>
  <c r="CU59" i="4"/>
  <c r="CU117" i="4" s="1"/>
  <c r="CU129" i="4" s="1"/>
  <c r="CU144" i="4" s="1"/>
  <c r="CU158" i="4" s="1"/>
  <c r="CU163" i="4" s="1"/>
  <c r="CV59" i="4"/>
  <c r="CV117" i="4" s="1"/>
  <c r="CV129" i="4" s="1"/>
  <c r="CV144" i="4" s="1"/>
  <c r="CV158" i="4" s="1"/>
  <c r="CV163" i="4" s="1"/>
  <c r="DE59" i="4"/>
  <c r="BA117" i="4"/>
  <c r="BA129" i="4" s="1"/>
  <c r="BA144" i="4" s="1"/>
  <c r="BA158" i="4" s="1"/>
  <c r="BA163" i="4" s="1"/>
  <c r="BA176" i="4" s="1"/>
  <c r="BB117" i="4"/>
  <c r="BB129" i="4" s="1"/>
  <c r="BB144" i="4" s="1"/>
  <c r="BB158" i="4" s="1"/>
  <c r="BB163" i="4" s="1"/>
  <c r="BB176" i="4" s="1"/>
  <c r="BC117" i="4"/>
  <c r="BC129" i="4" s="1"/>
  <c r="BC144" i="4" s="1"/>
  <c r="BC158" i="4" s="1"/>
  <c r="BC163" i="4" s="1"/>
  <c r="BC176" i="4" s="1"/>
  <c r="BD117" i="4"/>
  <c r="BD129" i="4" s="1"/>
  <c r="BD144" i="4" s="1"/>
  <c r="BD158" i="4" s="1"/>
  <c r="BD163" i="4" s="1"/>
  <c r="BD176" i="4" s="1"/>
  <c r="BE117" i="4"/>
  <c r="BE129" i="4" s="1"/>
  <c r="BE144" i="4" s="1"/>
  <c r="BE158" i="4" s="1"/>
  <c r="BE163" i="4" s="1"/>
  <c r="BE176" i="4" s="1"/>
  <c r="BF117" i="4"/>
  <c r="BF129" i="4" s="1"/>
  <c r="BF144" i="4" s="1"/>
  <c r="BF158" i="4" s="1"/>
  <c r="BF163" i="4" s="1"/>
  <c r="BF176" i="4" s="1"/>
  <c r="BG117" i="4"/>
  <c r="BG129" i="4" s="1"/>
  <c r="BG144" i="4" s="1"/>
  <c r="BG158" i="4" s="1"/>
  <c r="BG163" i="4" s="1"/>
  <c r="BG176" i="4" s="1"/>
  <c r="BH117" i="4"/>
  <c r="BH129" i="4" s="1"/>
  <c r="BH144" i="4" s="1"/>
  <c r="BH158" i="4" s="1"/>
  <c r="BH163" i="4" s="1"/>
  <c r="BH176" i="4" s="1"/>
  <c r="BI117" i="4"/>
  <c r="BI129" i="4" s="1"/>
  <c r="BI144" i="4" s="1"/>
  <c r="BI158" i="4" s="1"/>
  <c r="BI163" i="4" s="1"/>
  <c r="BI176" i="4" s="1"/>
  <c r="BJ117" i="4"/>
  <c r="BJ129" i="4" s="1"/>
  <c r="BJ144" i="4" s="1"/>
  <c r="BJ158" i="4" s="1"/>
  <c r="BJ163" i="4" s="1"/>
  <c r="BJ176" i="4" s="1"/>
  <c r="BK117" i="4"/>
  <c r="BK129" i="4" s="1"/>
  <c r="BK144" i="4" s="1"/>
  <c r="BK158" i="4" s="1"/>
  <c r="BK163" i="4" s="1"/>
  <c r="BK176" i="4" s="1"/>
  <c r="BL117" i="4"/>
  <c r="BL129" i="4" s="1"/>
  <c r="BL144" i="4" s="1"/>
  <c r="BL158" i="4" s="1"/>
  <c r="BL163" i="4" s="1"/>
  <c r="BL176" i="4" s="1"/>
  <c r="BM117" i="4"/>
  <c r="BM129" i="4" s="1"/>
  <c r="BM144" i="4" s="1"/>
  <c r="BM158" i="4" s="1"/>
  <c r="BM163" i="4" s="1"/>
  <c r="BM176" i="4" s="1"/>
  <c r="BN117" i="4"/>
  <c r="BN129" i="4" s="1"/>
  <c r="BN144" i="4" s="1"/>
  <c r="BN158" i="4" s="1"/>
  <c r="BN163" i="4" s="1"/>
  <c r="BN176" i="4" s="1"/>
  <c r="BO117" i="4"/>
  <c r="BO129" i="4" s="1"/>
  <c r="BO144" i="4" s="1"/>
  <c r="BO158" i="4" s="1"/>
  <c r="BO163" i="4" s="1"/>
  <c r="BO176" i="4" s="1"/>
  <c r="BP117" i="4"/>
  <c r="BP129" i="4" s="1"/>
  <c r="BP144" i="4" s="1"/>
  <c r="BP158" i="4" s="1"/>
  <c r="BP163" i="4" s="1"/>
  <c r="BP176" i="4" s="1"/>
  <c r="BQ117" i="4"/>
  <c r="BQ129" i="4" s="1"/>
  <c r="BQ144" i="4" s="1"/>
  <c r="BQ158" i="4" s="1"/>
  <c r="BQ163" i="4" s="1"/>
  <c r="BQ176" i="4" s="1"/>
  <c r="BR117" i="4"/>
  <c r="BR129" i="4" s="1"/>
  <c r="BR144" i="4" s="1"/>
  <c r="BR158" i="4" s="1"/>
  <c r="BR163" i="4" s="1"/>
  <c r="BR176" i="4" s="1"/>
  <c r="BS117" i="4"/>
  <c r="BS129" i="4" s="1"/>
  <c r="BS144" i="4" s="1"/>
  <c r="BS158" i="4" s="1"/>
  <c r="BS163" i="4" s="1"/>
  <c r="BS176" i="4" s="1"/>
  <c r="BT117" i="4"/>
  <c r="BT129" i="4" s="1"/>
  <c r="BT144" i="4" s="1"/>
  <c r="BT158" i="4" s="1"/>
  <c r="BT163" i="4" s="1"/>
  <c r="BT176" i="4" s="1"/>
  <c r="BU117" i="4"/>
  <c r="BU129" i="4" s="1"/>
  <c r="BU144" i="4" s="1"/>
  <c r="BU158" i="4" s="1"/>
  <c r="BU163" i="4" s="1"/>
  <c r="BU176" i="4" s="1"/>
  <c r="BV117" i="4"/>
  <c r="BV129" i="4" s="1"/>
  <c r="BV144" i="4" s="1"/>
  <c r="BV158" i="4" s="1"/>
  <c r="BV163" i="4" s="1"/>
  <c r="BV176" i="4" s="1"/>
  <c r="BW117" i="4"/>
  <c r="BW129" i="4" s="1"/>
  <c r="BW144" i="4" s="1"/>
  <c r="BW158" i="4" s="1"/>
  <c r="BW163" i="4" s="1"/>
  <c r="BW176" i="4" s="1"/>
  <c r="BX117" i="4"/>
  <c r="BX129" i="4" s="1"/>
  <c r="BX144" i="4" s="1"/>
  <c r="BX158" i="4" s="1"/>
  <c r="BX163" i="4" s="1"/>
  <c r="BX176" i="4" s="1"/>
  <c r="BY117" i="4"/>
  <c r="BY129" i="4" s="1"/>
  <c r="BY144" i="4" s="1"/>
  <c r="BY158" i="4" s="1"/>
  <c r="BY163" i="4" s="1"/>
  <c r="BY176" i="4" s="1"/>
  <c r="BZ117" i="4"/>
  <c r="BZ129" i="4" s="1"/>
  <c r="BZ144" i="4" s="1"/>
  <c r="BZ158" i="4" s="1"/>
  <c r="BZ163" i="4" s="1"/>
  <c r="BZ176" i="4" s="1"/>
  <c r="CA117" i="4"/>
  <c r="CA129" i="4" s="1"/>
  <c r="CA144" i="4" s="1"/>
  <c r="CA158" i="4" s="1"/>
  <c r="CA163" i="4" s="1"/>
  <c r="CA176" i="4" s="1"/>
  <c r="CB117" i="4"/>
  <c r="CB129" i="4" s="1"/>
  <c r="CB144" i="4" s="1"/>
  <c r="CB158" i="4" s="1"/>
  <c r="CB163" i="4" s="1"/>
  <c r="CB176" i="4" s="1"/>
  <c r="CC117" i="4"/>
  <c r="CC129" i="4" s="1"/>
  <c r="CC144" i="4" s="1"/>
  <c r="CC158" i="4" s="1"/>
  <c r="CC163" i="4" s="1"/>
  <c r="CC176" i="4" s="1"/>
  <c r="CD117" i="4"/>
  <c r="CD129" i="4" s="1"/>
  <c r="CD144" i="4" s="1"/>
  <c r="CD158" i="4" s="1"/>
  <c r="CD163" i="4" s="1"/>
  <c r="CD176" i="4" s="1"/>
  <c r="CE117" i="4"/>
  <c r="CE129" i="4" s="1"/>
  <c r="CE144" i="4" s="1"/>
  <c r="CE158" i="4" s="1"/>
  <c r="CE163" i="4" s="1"/>
  <c r="CE176" i="4" s="1"/>
  <c r="CF117" i="4"/>
  <c r="CF129" i="4" s="1"/>
  <c r="CF144" i="4" s="1"/>
  <c r="CF158" i="4" s="1"/>
  <c r="CF163" i="4" s="1"/>
  <c r="CF176" i="4" s="1"/>
  <c r="CG117" i="4"/>
  <c r="CG129" i="4" s="1"/>
  <c r="CG144" i="4" s="1"/>
  <c r="CG158" i="4" s="1"/>
  <c r="CG163" i="4" s="1"/>
  <c r="CG176" i="4" s="1"/>
  <c r="CH117" i="4"/>
  <c r="CH129" i="4" s="1"/>
  <c r="CH144" i="4" s="1"/>
  <c r="CH158" i="4" s="1"/>
  <c r="CH163" i="4" s="1"/>
  <c r="CH176" i="4" s="1"/>
  <c r="CI117" i="4"/>
  <c r="CI129" i="4" s="1"/>
  <c r="CI144" i="4" s="1"/>
  <c r="CI158" i="4" s="1"/>
  <c r="CI163" i="4" s="1"/>
  <c r="CI176" i="4" s="1"/>
  <c r="CJ117" i="4"/>
  <c r="CJ129" i="4" s="1"/>
  <c r="CJ144" i="4" s="1"/>
  <c r="CJ158" i="4" s="1"/>
  <c r="CJ163" i="4" s="1"/>
  <c r="CJ176" i="4" s="1"/>
  <c r="CK117" i="4"/>
  <c r="CK129" i="4" s="1"/>
  <c r="CK144" i="4" s="1"/>
  <c r="CK158" i="4" s="1"/>
  <c r="CK163" i="4" s="1"/>
  <c r="CK176" i="4" s="1"/>
  <c r="CL117" i="4"/>
  <c r="CL129" i="4" s="1"/>
  <c r="CL144" i="4" s="1"/>
  <c r="CL158" i="4" s="1"/>
  <c r="CL163" i="4" s="1"/>
  <c r="CL176" i="4" s="1"/>
  <c r="CM117" i="4"/>
  <c r="CM129" i="4" s="1"/>
  <c r="CM144" i="4" s="1"/>
  <c r="CM158" i="4" s="1"/>
  <c r="CM163" i="4" s="1"/>
  <c r="CM176" i="4" s="1"/>
  <c r="CN117" i="4"/>
  <c r="CN129" i="4" s="1"/>
  <c r="CN144" i="4" s="1"/>
  <c r="CN158" i="4" s="1"/>
  <c r="CN163" i="4" s="1"/>
  <c r="CN176" i="4" s="1"/>
  <c r="CO117" i="4"/>
  <c r="CO129" i="4" s="1"/>
  <c r="CO144" i="4" s="1"/>
  <c r="CO158" i="4" s="1"/>
  <c r="CO163" i="4" s="1"/>
  <c r="CO176" i="4" s="1"/>
  <c r="CP117" i="4"/>
  <c r="CP129" i="4" s="1"/>
  <c r="CP144" i="4" s="1"/>
  <c r="CP158" i="4" s="1"/>
  <c r="CP163" i="4" s="1"/>
  <c r="CP176" i="4" s="1"/>
  <c r="CQ117" i="4"/>
  <c r="CQ129" i="4" s="1"/>
  <c r="CQ144" i="4" s="1"/>
  <c r="CQ158" i="4" s="1"/>
  <c r="CQ163" i="4" s="1"/>
  <c r="CQ176" i="4" s="1"/>
  <c r="DE117" i="4"/>
  <c r="DE129" i="4" s="1"/>
  <c r="DE144" i="4" s="1"/>
  <c r="DE158" i="4" s="1"/>
  <c r="DE163" i="4" s="1"/>
  <c r="B152" i="4"/>
  <c r="C152" i="4" s="1"/>
  <c r="B166" i="4"/>
  <c r="B167" i="4"/>
  <c r="B168" i="4"/>
  <c r="B169" i="4"/>
  <c r="B170" i="4"/>
  <c r="B171" i="4"/>
  <c r="B172" i="4"/>
  <c r="B173" i="4"/>
  <c r="B174" i="4"/>
  <c r="B175" i="4"/>
  <c r="B176" i="4"/>
  <c r="CR176" i="4"/>
  <c r="B177" i="4"/>
  <c r="B178" i="4"/>
  <c r="B179" i="4"/>
  <c r="B180" i="4"/>
  <c r="B181" i="4"/>
  <c r="B182" i="4"/>
  <c r="B183" i="4"/>
  <c r="B184" i="4"/>
  <c r="B185" i="4"/>
  <c r="B186" i="4"/>
  <c r="B187" i="4"/>
  <c r="B188" i="4"/>
  <c r="B189" i="4"/>
  <c r="B190" i="4"/>
  <c r="B191" i="4"/>
  <c r="B192" i="4"/>
  <c r="B193" i="4"/>
  <c r="B194" i="4"/>
  <c r="B195" i="4"/>
  <c r="B196" i="4"/>
  <c r="B197" i="4"/>
  <c r="B198" i="4"/>
  <c r="B199" i="4"/>
  <c r="B200" i="4"/>
  <c r="B201" i="4"/>
  <c r="B202" i="4"/>
  <c r="B203" i="4"/>
  <c r="B204" i="4"/>
  <c r="B205" i="4"/>
  <c r="B206" i="4"/>
  <c r="B207" i="4"/>
  <c r="B208" i="4"/>
  <c r="B209" i="4"/>
  <c r="B210" i="4"/>
  <c r="B211" i="4"/>
  <c r="B212" i="4"/>
  <c r="B213" i="4"/>
  <c r="B214" i="4"/>
  <c r="B215" i="4"/>
  <c r="B216" i="4"/>
  <c r="B217" i="4"/>
  <c r="B218" i="4"/>
  <c r="B219" i="4"/>
  <c r="B220" i="4"/>
  <c r="B221" i="4"/>
  <c r="B222" i="4"/>
  <c r="B223" i="4"/>
  <c r="B224" i="4"/>
  <c r="B225" i="4"/>
  <c r="B226" i="4"/>
  <c r="B227" i="4"/>
  <c r="B228" i="4"/>
  <c r="B229" i="4"/>
  <c r="B230" i="4"/>
  <c r="B231" i="4"/>
  <c r="B232" i="4"/>
  <c r="B233" i="4"/>
  <c r="B234" i="4"/>
  <c r="B235" i="4"/>
  <c r="B236" i="4"/>
  <c r="B237" i="4"/>
  <c r="B238" i="4"/>
  <c r="B239" i="4"/>
  <c r="B240" i="4"/>
  <c r="B241" i="4"/>
  <c r="B242" i="4"/>
  <c r="D19" i="2" s="1"/>
  <c r="B243" i="4"/>
  <c r="B244" i="4"/>
  <c r="B245" i="4"/>
  <c r="B246" i="4"/>
  <c r="B247" i="4"/>
  <c r="AX412" i="4"/>
  <c r="AZ412" i="4"/>
  <c r="BA412" i="4"/>
  <c r="BB412" i="4"/>
  <c r="BC412" i="4"/>
  <c r="BD412" i="4"/>
  <c r="BE412" i="4"/>
  <c r="BF412" i="4"/>
  <c r="BG412" i="4"/>
  <c r="BH412" i="4"/>
  <c r="BI412" i="4"/>
  <c r="BJ412" i="4"/>
  <c r="BK412" i="4"/>
  <c r="BL412" i="4"/>
  <c r="BM412" i="4"/>
  <c r="BN412" i="4"/>
  <c r="BO412" i="4"/>
  <c r="BP412" i="4"/>
  <c r="BQ412" i="4"/>
  <c r="BR412" i="4"/>
  <c r="BS412" i="4"/>
  <c r="BT412" i="4"/>
  <c r="BU412" i="4"/>
  <c r="BV412" i="4"/>
  <c r="BW412" i="4"/>
  <c r="BX412" i="4"/>
  <c r="BY412" i="4"/>
  <c r="BZ412" i="4"/>
  <c r="CA412" i="4"/>
  <c r="CB412" i="4"/>
  <c r="CC412" i="4"/>
  <c r="CD412" i="4"/>
  <c r="CE412" i="4"/>
  <c r="CF412" i="4"/>
  <c r="CG412" i="4"/>
  <c r="CH412" i="4"/>
  <c r="CI412" i="4"/>
  <c r="CJ412" i="4"/>
  <c r="CK412" i="4"/>
  <c r="CL412" i="4"/>
  <c r="CN412" i="4"/>
  <c r="CO412" i="4"/>
  <c r="CP412" i="4"/>
  <c r="CQ412" i="4"/>
  <c r="F419" i="4"/>
  <c r="G419" i="4"/>
  <c r="H419" i="4"/>
  <c r="I419" i="4"/>
  <c r="J419" i="4"/>
  <c r="K419" i="4"/>
  <c r="L419" i="4"/>
  <c r="M419" i="4"/>
  <c r="N419" i="4"/>
  <c r="O419" i="4"/>
  <c r="P419" i="4"/>
  <c r="Q419" i="4"/>
  <c r="R419" i="4"/>
  <c r="S419" i="4"/>
  <c r="T419" i="4"/>
  <c r="U419" i="4"/>
  <c r="V419" i="4"/>
  <c r="W419" i="4"/>
  <c r="X419" i="4"/>
  <c r="Y419" i="4"/>
  <c r="AA419" i="4"/>
  <c r="AB419" i="4"/>
  <c r="AC419" i="4"/>
  <c r="AD419" i="4"/>
  <c r="AF419" i="4"/>
  <c r="AG419" i="4"/>
  <c r="AH419" i="4"/>
  <c r="AJ419" i="4"/>
  <c r="AK419" i="4"/>
  <c r="AL419" i="4"/>
  <c r="AM419" i="4"/>
  <c r="AO419" i="4"/>
  <c r="AP419" i="4"/>
  <c r="AQ419" i="4"/>
  <c r="AS419" i="4"/>
  <c r="AT419" i="4"/>
  <c r="AU419" i="4"/>
  <c r="AV419" i="4"/>
  <c r="AW419" i="4"/>
  <c r="AX419" i="4"/>
  <c r="AY419" i="4"/>
  <c r="AZ419" i="4"/>
  <c r="BA419" i="4"/>
  <c r="BB419" i="4"/>
  <c r="BC419" i="4"/>
  <c r="BD419" i="4"/>
  <c r="BE419" i="4"/>
  <c r="BF419" i="4"/>
  <c r="BG419" i="4"/>
  <c r="BH419" i="4"/>
  <c r="BI419" i="4"/>
  <c r="BJ419" i="4"/>
  <c r="BK419" i="4"/>
  <c r="BL419" i="4"/>
  <c r="BM419" i="4"/>
  <c r="BN419" i="4"/>
  <c r="BO419" i="4"/>
  <c r="BP419" i="4"/>
  <c r="BQ419" i="4"/>
  <c r="BR419" i="4"/>
  <c r="BS419" i="4"/>
  <c r="BT419" i="4"/>
  <c r="BU419" i="4"/>
  <c r="BV419" i="4"/>
  <c r="BW419" i="4"/>
  <c r="BX419" i="4"/>
  <c r="BY419" i="4"/>
  <c r="BZ419" i="4"/>
  <c r="CA419" i="4"/>
  <c r="CB419" i="4"/>
  <c r="CC419" i="4"/>
  <c r="CD419" i="4"/>
  <c r="CE419" i="4"/>
  <c r="CF419" i="4"/>
  <c r="CG419" i="4"/>
  <c r="CH419" i="4"/>
  <c r="CI419" i="4"/>
  <c r="CJ419" i="4"/>
  <c r="CK419" i="4"/>
  <c r="CL419" i="4"/>
  <c r="CN419" i="4"/>
  <c r="CO419" i="4"/>
  <c r="CP419" i="4"/>
  <c r="CQ419" i="4"/>
  <c r="CS419" i="4"/>
  <c r="CT419" i="4"/>
  <c r="CU419" i="4"/>
  <c r="CV419" i="4"/>
  <c r="CX419" i="4"/>
  <c r="CY419" i="4"/>
  <c r="CZ419" i="4"/>
  <c r="DA419" i="4"/>
  <c r="DB419" i="4"/>
  <c r="DC419" i="4"/>
  <c r="DD419" i="4"/>
  <c r="F420" i="4"/>
  <c r="G420" i="4"/>
  <c r="H420" i="4"/>
  <c r="I420" i="4"/>
  <c r="J420" i="4"/>
  <c r="K420" i="4"/>
  <c r="L420" i="4"/>
  <c r="M420" i="4"/>
  <c r="N420" i="4"/>
  <c r="O420" i="4"/>
  <c r="P420" i="4"/>
  <c r="Q420" i="4"/>
  <c r="R420" i="4"/>
  <c r="S420" i="4"/>
  <c r="T420" i="4"/>
  <c r="U420" i="4"/>
  <c r="V420" i="4"/>
  <c r="W420" i="4"/>
  <c r="X420" i="4"/>
  <c r="Y420" i="4"/>
  <c r="AA420" i="4"/>
  <c r="AB420" i="4"/>
  <c r="AC420" i="4"/>
  <c r="AD420" i="4"/>
  <c r="AF420" i="4"/>
  <c r="AG420" i="4"/>
  <c r="AH420" i="4"/>
  <c r="AJ420" i="4"/>
  <c r="AK420" i="4"/>
  <c r="AL420" i="4"/>
  <c r="AM420" i="4"/>
  <c r="AO420" i="4"/>
  <c r="AP420" i="4"/>
  <c r="AQ420" i="4"/>
  <c r="AS420" i="4"/>
  <c r="AT420" i="4"/>
  <c r="AU420" i="4"/>
  <c r="AV420" i="4"/>
  <c r="AW420" i="4"/>
  <c r="AX420" i="4"/>
  <c r="AY420" i="4"/>
  <c r="AZ420" i="4"/>
  <c r="BA420" i="4"/>
  <c r="BB420" i="4"/>
  <c r="BC420" i="4"/>
  <c r="BD420" i="4"/>
  <c r="BE420" i="4"/>
  <c r="BF420" i="4"/>
  <c r="BG420" i="4"/>
  <c r="BH420" i="4"/>
  <c r="BI420" i="4"/>
  <c r="BJ420" i="4"/>
  <c r="BK420" i="4"/>
  <c r="BL420" i="4"/>
  <c r="BM420" i="4"/>
  <c r="BN420" i="4"/>
  <c r="BO420" i="4"/>
  <c r="BP420" i="4"/>
  <c r="BQ420" i="4"/>
  <c r="BR420" i="4"/>
  <c r="BS420" i="4"/>
  <c r="BT420" i="4"/>
  <c r="BU420" i="4"/>
  <c r="BV420" i="4"/>
  <c r="BW420" i="4"/>
  <c r="BX420" i="4"/>
  <c r="BY420" i="4"/>
  <c r="BZ420" i="4"/>
  <c r="CA420" i="4"/>
  <c r="CB420" i="4"/>
  <c r="CC420" i="4"/>
  <c r="CD420" i="4"/>
  <c r="CE420" i="4"/>
  <c r="CF420" i="4"/>
  <c r="CG420" i="4"/>
  <c r="CH420" i="4"/>
  <c r="CI420" i="4"/>
  <c r="CJ420" i="4"/>
  <c r="CK420" i="4"/>
  <c r="CL420" i="4"/>
  <c r="CN420" i="4"/>
  <c r="CO420" i="4"/>
  <c r="CP420" i="4"/>
  <c r="CQ420" i="4"/>
  <c r="CS420" i="4"/>
  <c r="CT420" i="4"/>
  <c r="CU420" i="4"/>
  <c r="CV420" i="4"/>
  <c r="CX420" i="4"/>
  <c r="CY420" i="4"/>
  <c r="CZ420" i="4"/>
  <c r="DA420" i="4"/>
  <c r="DB420" i="4"/>
  <c r="DC420" i="4"/>
  <c r="DD420" i="4"/>
  <c r="F421" i="4"/>
  <c r="G421" i="4"/>
  <c r="H421" i="4"/>
  <c r="I421" i="4"/>
  <c r="J421" i="4"/>
  <c r="K421" i="4"/>
  <c r="L421" i="4"/>
  <c r="M421" i="4"/>
  <c r="N421" i="4"/>
  <c r="O421" i="4"/>
  <c r="P421" i="4"/>
  <c r="Q421" i="4"/>
  <c r="R421" i="4"/>
  <c r="S421" i="4"/>
  <c r="T421" i="4"/>
  <c r="U421" i="4"/>
  <c r="V421" i="4"/>
  <c r="W421" i="4"/>
  <c r="X421" i="4"/>
  <c r="Y421" i="4"/>
  <c r="AA421" i="4"/>
  <c r="AB421" i="4"/>
  <c r="AC421" i="4"/>
  <c r="AD421" i="4"/>
  <c r="AF421" i="4"/>
  <c r="AG421" i="4"/>
  <c r="AH421" i="4"/>
  <c r="AJ421" i="4"/>
  <c r="AK421" i="4"/>
  <c r="AL421" i="4"/>
  <c r="AM421" i="4"/>
  <c r="AO421" i="4"/>
  <c r="AP421" i="4"/>
  <c r="AQ421" i="4"/>
  <c r="AS421" i="4"/>
  <c r="AT421" i="4"/>
  <c r="AU421" i="4"/>
  <c r="AV421" i="4"/>
  <c r="AW421" i="4"/>
  <c r="AX421" i="4"/>
  <c r="AY421" i="4"/>
  <c r="AZ421" i="4"/>
  <c r="BA421" i="4"/>
  <c r="BB421" i="4"/>
  <c r="BC421" i="4"/>
  <c r="BD421" i="4"/>
  <c r="BE421" i="4"/>
  <c r="BF421" i="4"/>
  <c r="BG421" i="4"/>
  <c r="BH421" i="4"/>
  <c r="BI421" i="4"/>
  <c r="BJ421" i="4"/>
  <c r="BK421" i="4"/>
  <c r="BL421" i="4"/>
  <c r="BM421" i="4"/>
  <c r="BN421" i="4"/>
  <c r="BO421" i="4"/>
  <c r="BP421" i="4"/>
  <c r="BQ421" i="4"/>
  <c r="BR421" i="4"/>
  <c r="BS421" i="4"/>
  <c r="BT421" i="4"/>
  <c r="BU421" i="4"/>
  <c r="BV421" i="4"/>
  <c r="BW421" i="4"/>
  <c r="BX421" i="4"/>
  <c r="BY421" i="4"/>
  <c r="BZ421" i="4"/>
  <c r="CA421" i="4"/>
  <c r="CB421" i="4"/>
  <c r="CC421" i="4"/>
  <c r="CD421" i="4"/>
  <c r="CE421" i="4"/>
  <c r="CF421" i="4"/>
  <c r="CG421" i="4"/>
  <c r="CH421" i="4"/>
  <c r="CI421" i="4"/>
  <c r="CJ421" i="4"/>
  <c r="CK421" i="4"/>
  <c r="CL421" i="4"/>
  <c r="CN421" i="4"/>
  <c r="CO421" i="4"/>
  <c r="CP421" i="4"/>
  <c r="CQ421" i="4"/>
  <c r="CS421" i="4"/>
  <c r="CT421" i="4"/>
  <c r="CU421" i="4"/>
  <c r="CV421" i="4"/>
  <c r="CX421" i="4"/>
  <c r="CY421" i="4"/>
  <c r="CZ421" i="4"/>
  <c r="DA421" i="4"/>
  <c r="DB421" i="4"/>
  <c r="DC421" i="4"/>
  <c r="DD421" i="4"/>
  <c r="AX440" i="4"/>
  <c r="AY440" i="4"/>
  <c r="AZ440" i="4"/>
  <c r="BA440" i="4"/>
  <c r="BB440" i="4"/>
  <c r="BC440" i="4"/>
  <c r="BD440" i="4"/>
  <c r="BE440" i="4"/>
  <c r="BF440" i="4"/>
  <c r="BG440" i="4"/>
  <c r="BH440" i="4"/>
  <c r="BI440" i="4"/>
  <c r="BJ440" i="4"/>
  <c r="BK440" i="4"/>
  <c r="BL440" i="4"/>
  <c r="BM440" i="4"/>
  <c r="BN440" i="4"/>
  <c r="BO440" i="4"/>
  <c r="BP440" i="4"/>
  <c r="BQ440" i="4"/>
  <c r="BR440" i="4"/>
  <c r="BS440" i="4"/>
  <c r="BT440" i="4"/>
  <c r="BU440" i="4"/>
  <c r="BV440" i="4"/>
  <c r="BW440" i="4"/>
  <c r="BX440" i="4"/>
  <c r="BY440" i="4"/>
  <c r="BZ440" i="4"/>
  <c r="CA440" i="4"/>
  <c r="CB440" i="4"/>
  <c r="CC440" i="4"/>
  <c r="CD440" i="4"/>
  <c r="CE440" i="4"/>
  <c r="CF440" i="4"/>
  <c r="CG440" i="4"/>
  <c r="CH440" i="4"/>
  <c r="CI440" i="4"/>
  <c r="CJ440" i="4"/>
  <c r="CK440" i="4"/>
  <c r="CL440" i="4"/>
  <c r="CN440" i="4"/>
  <c r="CO440" i="4"/>
  <c r="CP440" i="4"/>
  <c r="CQ440" i="4"/>
  <c r="DE441" i="4"/>
  <c r="CS442" i="4"/>
  <c r="CT442" i="4"/>
  <c r="CU442" i="4"/>
  <c r="CV442" i="4"/>
  <c r="DE442" i="4"/>
  <c r="DE452" i="4"/>
  <c r="F455" i="4"/>
  <c r="G455" i="4"/>
  <c r="H455" i="4"/>
  <c r="I455" i="4"/>
  <c r="J455" i="4"/>
  <c r="K455" i="4"/>
  <c r="L455" i="4"/>
  <c r="M455" i="4"/>
  <c r="N455" i="4"/>
  <c r="O455" i="4"/>
  <c r="P455" i="4"/>
  <c r="Q455" i="4"/>
  <c r="R455" i="4"/>
  <c r="S455" i="4"/>
  <c r="T455" i="4"/>
  <c r="U455" i="4"/>
  <c r="V455" i="4"/>
  <c r="W455" i="4"/>
  <c r="X455" i="4"/>
  <c r="Y455" i="4"/>
  <c r="AA455" i="4"/>
  <c r="AB455" i="4"/>
  <c r="AC455" i="4"/>
  <c r="AD455" i="4"/>
  <c r="AF455" i="4"/>
  <c r="AG455" i="4"/>
  <c r="AH455" i="4"/>
  <c r="AJ455" i="4"/>
  <c r="AK455" i="4"/>
  <c r="AL455" i="4"/>
  <c r="AM455" i="4"/>
  <c r="AO455" i="4"/>
  <c r="AP455" i="4"/>
  <c r="AQ455" i="4"/>
  <c r="AS455" i="4"/>
  <c r="AT455" i="4"/>
  <c r="AT459" i="4" s="1"/>
  <c r="AU455" i="4"/>
  <c r="AV455" i="4"/>
  <c r="AW455" i="4"/>
  <c r="AX455" i="4"/>
  <c r="AY455" i="4"/>
  <c r="AZ455" i="4"/>
  <c r="BA455" i="4"/>
  <c r="BB455" i="4"/>
  <c r="BC455" i="4"/>
  <c r="BD455" i="4"/>
  <c r="BE455" i="4"/>
  <c r="BF455" i="4"/>
  <c r="BG455" i="4"/>
  <c r="BH455" i="4"/>
  <c r="BI455" i="4"/>
  <c r="BJ455" i="4"/>
  <c r="BK455" i="4"/>
  <c r="BL455" i="4"/>
  <c r="BM455" i="4"/>
  <c r="BN455" i="4"/>
  <c r="BO455" i="4"/>
  <c r="BP455" i="4"/>
  <c r="BQ455" i="4"/>
  <c r="BR455" i="4"/>
  <c r="BS455" i="4"/>
  <c r="BT455" i="4"/>
  <c r="BU455" i="4"/>
  <c r="BV455" i="4"/>
  <c r="BW455" i="4"/>
  <c r="BX455" i="4"/>
  <c r="BY455" i="4"/>
  <c r="BZ455" i="4"/>
  <c r="CA455" i="4"/>
  <c r="CB455" i="4"/>
  <c r="CC455" i="4"/>
  <c r="CD455" i="4"/>
  <c r="CE455" i="4"/>
  <c r="CF455" i="4"/>
  <c r="CG455" i="4"/>
  <c r="CH455" i="4"/>
  <c r="CI455" i="4"/>
  <c r="CJ455" i="4"/>
  <c r="CK455" i="4"/>
  <c r="CL455" i="4"/>
  <c r="CN455" i="4"/>
  <c r="CO455" i="4"/>
  <c r="CP455" i="4"/>
  <c r="CQ455" i="4"/>
  <c r="CS455" i="4"/>
  <c r="CT455" i="4"/>
  <c r="CU455" i="4"/>
  <c r="CV455" i="4"/>
  <c r="CX455" i="4"/>
  <c r="CY455" i="4"/>
  <c r="CZ455" i="4"/>
  <c r="DA455" i="4"/>
  <c r="DB455" i="4"/>
  <c r="DC455" i="4"/>
  <c r="DD455" i="4"/>
  <c r="F456" i="4"/>
  <c r="G456" i="4"/>
  <c r="H456" i="4"/>
  <c r="I456" i="4"/>
  <c r="J456" i="4"/>
  <c r="K456" i="4"/>
  <c r="L456" i="4"/>
  <c r="M456" i="4"/>
  <c r="N456" i="4"/>
  <c r="O456" i="4"/>
  <c r="P456" i="4"/>
  <c r="Q456" i="4"/>
  <c r="R456" i="4"/>
  <c r="S456" i="4"/>
  <c r="T456" i="4"/>
  <c r="U456" i="4"/>
  <c r="V456" i="4"/>
  <c r="W456" i="4"/>
  <c r="X456" i="4"/>
  <c r="Y456" i="4"/>
  <c r="AA456" i="4"/>
  <c r="AB456" i="4"/>
  <c r="AC456" i="4"/>
  <c r="AD456" i="4"/>
  <c r="AF456" i="4"/>
  <c r="AG456" i="4"/>
  <c r="AH456" i="4"/>
  <c r="AJ456" i="4"/>
  <c r="AK456" i="4"/>
  <c r="AL456" i="4"/>
  <c r="AM456" i="4"/>
  <c r="AO456" i="4"/>
  <c r="AP456" i="4"/>
  <c r="AQ456" i="4"/>
  <c r="AS456" i="4"/>
  <c r="AT456" i="4"/>
  <c r="AU456" i="4"/>
  <c r="AV456" i="4"/>
  <c r="AW456" i="4"/>
  <c r="AX456" i="4"/>
  <c r="AY456" i="4"/>
  <c r="AZ456" i="4"/>
  <c r="BA456" i="4"/>
  <c r="BB456" i="4"/>
  <c r="BC456" i="4"/>
  <c r="BD456" i="4"/>
  <c r="BE456" i="4"/>
  <c r="BF456" i="4"/>
  <c r="BG456" i="4"/>
  <c r="BH456" i="4"/>
  <c r="BI456" i="4"/>
  <c r="BJ456" i="4"/>
  <c r="BK456" i="4"/>
  <c r="BL456" i="4"/>
  <c r="BM456" i="4"/>
  <c r="BN456" i="4"/>
  <c r="BO456" i="4"/>
  <c r="BP456" i="4"/>
  <c r="BQ456" i="4"/>
  <c r="BR456" i="4"/>
  <c r="BS456" i="4"/>
  <c r="BT456" i="4"/>
  <c r="BU456" i="4"/>
  <c r="BV456" i="4"/>
  <c r="BW456" i="4"/>
  <c r="BX456" i="4"/>
  <c r="BY456" i="4"/>
  <c r="BZ456" i="4"/>
  <c r="CA456" i="4"/>
  <c r="CB456" i="4"/>
  <c r="CC456" i="4"/>
  <c r="CD456" i="4"/>
  <c r="CE456" i="4"/>
  <c r="CF456" i="4"/>
  <c r="CG456" i="4"/>
  <c r="CH456" i="4"/>
  <c r="CI456" i="4"/>
  <c r="CJ456" i="4"/>
  <c r="CK456" i="4"/>
  <c r="CL456" i="4"/>
  <c r="CN456" i="4"/>
  <c r="CO456" i="4"/>
  <c r="CP456" i="4"/>
  <c r="CQ456" i="4"/>
  <c r="CS456" i="4"/>
  <c r="CT456" i="4"/>
  <c r="CU456" i="4"/>
  <c r="CV456" i="4"/>
  <c r="CX456" i="4"/>
  <c r="CY456" i="4"/>
  <c r="CZ456" i="4"/>
  <c r="DA456" i="4"/>
  <c r="DB456" i="4"/>
  <c r="DC456" i="4"/>
  <c r="DD456" i="4"/>
  <c r="F3" i="3"/>
  <c r="O3" i="3"/>
  <c r="F4" i="3"/>
  <c r="O4" i="3"/>
  <c r="F5" i="3"/>
  <c r="O5" i="3"/>
  <c r="F6" i="3"/>
  <c r="O6" i="3"/>
  <c r="F7" i="3"/>
  <c r="O7" i="3"/>
  <c r="F8" i="3"/>
  <c r="O8" i="3"/>
  <c r="F9" i="3"/>
  <c r="O9" i="3"/>
  <c r="F10" i="3"/>
  <c r="O10" i="3"/>
  <c r="F11" i="3"/>
  <c r="O11" i="3"/>
  <c r="F12" i="3"/>
  <c r="O12" i="3"/>
  <c r="F13" i="3"/>
  <c r="O13" i="3"/>
  <c r="F14" i="3"/>
  <c r="O14" i="3"/>
  <c r="F15" i="3"/>
  <c r="O15" i="3"/>
  <c r="F16" i="3"/>
  <c r="O16" i="3"/>
  <c r="F17" i="3"/>
  <c r="O17" i="3"/>
  <c r="F18" i="3"/>
  <c r="O18" i="3"/>
  <c r="F19" i="3"/>
  <c r="O19" i="3"/>
  <c r="F20" i="3"/>
  <c r="O20" i="3"/>
  <c r="F21" i="3"/>
  <c r="O21" i="3"/>
  <c r="F22" i="3"/>
  <c r="O22" i="3"/>
  <c r="F23" i="3"/>
  <c r="O23" i="3"/>
  <c r="F24" i="3"/>
  <c r="O24" i="3"/>
  <c r="F25" i="3"/>
  <c r="O25" i="3"/>
  <c r="F26" i="3"/>
  <c r="O26" i="3"/>
  <c r="F27" i="3"/>
  <c r="O27" i="3"/>
  <c r="F28" i="3"/>
  <c r="O28" i="3"/>
  <c r="F29" i="3"/>
  <c r="O29" i="3"/>
  <c r="F30" i="3"/>
  <c r="O30" i="3"/>
  <c r="F31" i="3"/>
  <c r="O31" i="3"/>
  <c r="F32" i="3"/>
  <c r="O32" i="3"/>
  <c r="F33" i="3"/>
  <c r="O33" i="3"/>
  <c r="F34" i="3"/>
  <c r="O34" i="3"/>
  <c r="F35" i="3"/>
  <c r="O35" i="3"/>
  <c r="F36" i="3"/>
  <c r="O36" i="3"/>
  <c r="F37" i="3"/>
  <c r="O37" i="3"/>
  <c r="F38" i="3"/>
  <c r="O38" i="3"/>
  <c r="F39" i="3"/>
  <c r="O39" i="3"/>
  <c r="F40" i="3"/>
  <c r="O40" i="3"/>
  <c r="F41" i="3"/>
  <c r="O41" i="3"/>
  <c r="F42" i="3"/>
  <c r="O42" i="3"/>
  <c r="F43" i="3"/>
  <c r="O43" i="3"/>
  <c r="F44" i="3"/>
  <c r="O44" i="3"/>
  <c r="F45" i="3"/>
  <c r="O45" i="3"/>
  <c r="F46" i="3"/>
  <c r="O46" i="3"/>
  <c r="F47" i="3"/>
  <c r="O47" i="3"/>
  <c r="F48" i="3"/>
  <c r="O48" i="3"/>
  <c r="F49" i="3"/>
  <c r="O49" i="3"/>
  <c r="F50" i="3"/>
  <c r="O50" i="3"/>
  <c r="F51" i="3"/>
  <c r="O51" i="3"/>
  <c r="F52" i="3"/>
  <c r="O52" i="3"/>
  <c r="F53" i="3"/>
  <c r="O53" i="3"/>
  <c r="F54" i="3"/>
  <c r="O54" i="3"/>
  <c r="O55" i="3"/>
  <c r="F56" i="3"/>
  <c r="O56" i="3"/>
  <c r="F57" i="3"/>
  <c r="O57" i="3"/>
  <c r="F58" i="3"/>
  <c r="O58" i="3"/>
  <c r="F59" i="3"/>
  <c r="O59" i="3"/>
  <c r="F60" i="3"/>
  <c r="O60" i="3"/>
  <c r="F61" i="3"/>
  <c r="O61" i="3"/>
  <c r="F62" i="3"/>
  <c r="O62" i="3"/>
  <c r="F63" i="3"/>
  <c r="O63" i="3"/>
  <c r="F64" i="3"/>
  <c r="O64" i="3"/>
  <c r="F65" i="3"/>
  <c r="O65" i="3"/>
  <c r="F66" i="3"/>
  <c r="O66" i="3"/>
  <c r="F68" i="3"/>
  <c r="O68" i="3"/>
  <c r="F69" i="3"/>
  <c r="O69" i="3"/>
  <c r="F71" i="3"/>
  <c r="O71" i="3"/>
  <c r="F72" i="3"/>
  <c r="O72" i="3"/>
  <c r="F73" i="3"/>
  <c r="O73" i="3"/>
  <c r="F74" i="3"/>
  <c r="O74" i="3"/>
  <c r="F75" i="3"/>
  <c r="O75" i="3"/>
  <c r="F76" i="3"/>
  <c r="O76" i="3"/>
  <c r="F77" i="3"/>
  <c r="O77" i="3"/>
  <c r="F78" i="3"/>
  <c r="O78" i="3"/>
  <c r="F79" i="3"/>
  <c r="O79" i="3"/>
  <c r="O81" i="3"/>
  <c r="F83" i="3"/>
  <c r="O83" i="3"/>
  <c r="F84" i="3"/>
  <c r="O84" i="3"/>
  <c r="F85" i="3"/>
  <c r="O85" i="3"/>
  <c r="F86" i="3"/>
  <c r="O86" i="3"/>
  <c r="F88" i="3"/>
  <c r="O88" i="3"/>
  <c r="F89" i="3"/>
  <c r="O89" i="3"/>
  <c r="F90" i="3"/>
  <c r="O90" i="3"/>
  <c r="F91" i="3"/>
  <c r="O91" i="3"/>
  <c r="F92" i="3"/>
  <c r="O92" i="3"/>
  <c r="F93" i="3"/>
  <c r="O93" i="3"/>
  <c r="F94" i="3"/>
  <c r="F107" i="3"/>
  <c r="O107" i="3"/>
  <c r="F108" i="3"/>
  <c r="O108" i="3"/>
  <c r="F109" i="3"/>
  <c r="O109" i="3"/>
  <c r="F111" i="3"/>
  <c r="O111" i="3"/>
  <c r="F112" i="3"/>
  <c r="O112" i="3"/>
  <c r="F113" i="3"/>
  <c r="O113" i="3"/>
  <c r="F114" i="3"/>
  <c r="O114" i="3"/>
  <c r="F115" i="3"/>
  <c r="O115" i="3"/>
  <c r="F116" i="3"/>
  <c r="O116" i="3"/>
  <c r="F117" i="3"/>
  <c r="O117" i="3"/>
  <c r="F118" i="3"/>
  <c r="O118" i="3"/>
  <c r="F119" i="3"/>
  <c r="O119" i="3"/>
  <c r="F120" i="3"/>
  <c r="O120" i="3"/>
  <c r="F121" i="3"/>
  <c r="O121" i="3"/>
  <c r="F122" i="3"/>
  <c r="O122" i="3"/>
  <c r="F123" i="3"/>
  <c r="O123" i="3"/>
  <c r="F124" i="3"/>
  <c r="O124" i="3"/>
  <c r="F125" i="3"/>
  <c r="O125" i="3"/>
  <c r="F126" i="3"/>
  <c r="O126" i="3"/>
  <c r="F127" i="3"/>
  <c r="O127" i="3"/>
  <c r="F128" i="3"/>
  <c r="O128" i="3"/>
  <c r="F129" i="3"/>
  <c r="O129" i="3"/>
  <c r="F130" i="3"/>
  <c r="O130" i="3"/>
  <c r="F131" i="3"/>
  <c r="O131" i="3"/>
  <c r="F132" i="3"/>
  <c r="O132" i="3"/>
  <c r="F133" i="3"/>
  <c r="O133" i="3"/>
  <c r="F134" i="3"/>
  <c r="O134" i="3"/>
  <c r="F135" i="3"/>
  <c r="O135" i="3"/>
  <c r="F137" i="3"/>
  <c r="O137" i="3"/>
  <c r="F138" i="3"/>
  <c r="O138" i="3"/>
  <c r="F139" i="3"/>
  <c r="O139" i="3"/>
  <c r="F140" i="3"/>
  <c r="O140" i="3"/>
  <c r="F141" i="3"/>
  <c r="O141" i="3"/>
  <c r="F142" i="3"/>
  <c r="O142" i="3"/>
  <c r="F143" i="3"/>
  <c r="O143" i="3"/>
  <c r="F144" i="3"/>
  <c r="O144" i="3"/>
  <c r="F145" i="3"/>
  <c r="O145" i="3"/>
  <c r="F146" i="3"/>
  <c r="F147" i="3"/>
  <c r="F148" i="3"/>
  <c r="F150" i="3"/>
  <c r="F151" i="3"/>
  <c r="F152" i="3"/>
  <c r="F153" i="3"/>
  <c r="F154" i="3"/>
  <c r="F155" i="3"/>
  <c r="F157" i="3"/>
  <c r="F158" i="3"/>
  <c r="F159" i="3"/>
  <c r="F160" i="3"/>
  <c r="F161" i="3"/>
  <c r="F162" i="3"/>
  <c r="F163" i="3"/>
  <c r="F164" i="3"/>
  <c r="F165" i="3"/>
  <c r="F166" i="3"/>
  <c r="F167" i="3"/>
  <c r="F168" i="3"/>
  <c r="F169" i="3"/>
  <c r="F170" i="3"/>
  <c r="F171" i="3"/>
  <c r="F172" i="3"/>
  <c r="F173" i="3"/>
  <c r="F174" i="3"/>
  <c r="F175" i="3"/>
  <c r="F176" i="3"/>
  <c r="F177" i="3"/>
  <c r="F178" i="3"/>
  <c r="F179" i="3"/>
  <c r="F180" i="3"/>
  <c r="F181" i="3"/>
  <c r="F182" i="3"/>
  <c r="F183" i="3"/>
  <c r="F184" i="3"/>
  <c r="F185" i="3"/>
  <c r="F186" i="3"/>
  <c r="F187" i="3"/>
  <c r="F188" i="3"/>
  <c r="F189" i="3"/>
  <c r="F190" i="3"/>
  <c r="F191" i="3"/>
  <c r="F192" i="3"/>
  <c r="F193" i="3"/>
  <c r="F194" i="3"/>
  <c r="F195" i="3"/>
  <c r="F196" i="3"/>
  <c r="F197" i="3"/>
  <c r="F200" i="3"/>
  <c r="F201" i="3"/>
  <c r="F202" i="3"/>
  <c r="F205" i="3"/>
  <c r="F207" i="3"/>
  <c r="O207" i="3"/>
  <c r="F208" i="3"/>
  <c r="O208" i="3"/>
  <c r="F209" i="3"/>
  <c r="O209" i="3"/>
  <c r="O210" i="3"/>
  <c r="F211" i="3"/>
  <c r="O211" i="3"/>
  <c r="F212" i="3"/>
  <c r="O212" i="3"/>
  <c r="F213" i="3"/>
  <c r="O213" i="3"/>
  <c r="F214" i="3"/>
  <c r="O214" i="3"/>
  <c r="F215" i="3"/>
  <c r="O215" i="3"/>
  <c r="F216" i="3"/>
  <c r="O216" i="3"/>
  <c r="F217" i="3"/>
  <c r="O217" i="3"/>
  <c r="O218" i="3"/>
  <c r="O219" i="3"/>
  <c r="F220" i="3"/>
  <c r="O220" i="3"/>
  <c r="F221" i="3"/>
  <c r="O221" i="3"/>
  <c r="F222" i="3"/>
  <c r="O222" i="3"/>
  <c r="O223" i="3"/>
  <c r="F224" i="3"/>
  <c r="O224" i="3"/>
  <c r="F225" i="3"/>
  <c r="O225" i="3"/>
  <c r="F226" i="3"/>
  <c r="O226" i="3"/>
  <c r="F227" i="3"/>
  <c r="O227" i="3"/>
  <c r="F228" i="3"/>
  <c r="O228" i="3"/>
  <c r="F229" i="3"/>
  <c r="O229" i="3"/>
  <c r="F230" i="3"/>
  <c r="O230" i="3"/>
  <c r="F231" i="3"/>
  <c r="O231" i="3"/>
  <c r="F232" i="3"/>
  <c r="O232" i="3"/>
  <c r="F233" i="3"/>
  <c r="O233" i="3"/>
  <c r="F234" i="3"/>
  <c r="O234" i="3"/>
  <c r="F235" i="3"/>
  <c r="O235" i="3"/>
  <c r="F236" i="3"/>
  <c r="O236" i="3"/>
  <c r="F237" i="3"/>
  <c r="O237" i="3"/>
  <c r="F238" i="3"/>
  <c r="O238" i="3"/>
  <c r="F239" i="3"/>
  <c r="O239" i="3"/>
  <c r="F240" i="3"/>
  <c r="O240" i="3"/>
  <c r="F241" i="3"/>
  <c r="O241" i="3"/>
  <c r="F242" i="3"/>
  <c r="O242" i="3"/>
  <c r="F243" i="3"/>
  <c r="O243" i="3"/>
  <c r="F244" i="3"/>
  <c r="O244" i="3"/>
  <c r="F245" i="3"/>
  <c r="O245" i="3"/>
  <c r="O246" i="3"/>
  <c r="F247" i="3"/>
  <c r="O247" i="3"/>
  <c r="F248" i="3"/>
  <c r="O248" i="3"/>
  <c r="F249" i="3"/>
  <c r="O249" i="3"/>
  <c r="F250" i="3"/>
  <c r="O250" i="3"/>
  <c r="O251" i="3"/>
  <c r="F252" i="3"/>
  <c r="O252" i="3"/>
  <c r="F253" i="3"/>
  <c r="O253" i="3"/>
  <c r="F254" i="3"/>
  <c r="O254" i="3"/>
  <c r="F255" i="3"/>
  <c r="O255" i="3"/>
  <c r="F256" i="3"/>
  <c r="O256" i="3"/>
  <c r="F257" i="3"/>
  <c r="O257" i="3"/>
  <c r="F258" i="3"/>
  <c r="O258" i="3"/>
  <c r="F259" i="3"/>
  <c r="O259" i="3"/>
  <c r="F260" i="3"/>
  <c r="O260" i="3"/>
  <c r="F261" i="3"/>
  <c r="O261" i="3"/>
  <c r="F262" i="3"/>
  <c r="O262" i="3"/>
  <c r="F263" i="3"/>
  <c r="O263" i="3"/>
  <c r="F264" i="3"/>
  <c r="O264" i="3"/>
  <c r="F265" i="3"/>
  <c r="O265" i="3"/>
  <c r="F266" i="3"/>
  <c r="O266" i="3"/>
  <c r="F267" i="3"/>
  <c r="O267" i="3"/>
  <c r="F268" i="3"/>
  <c r="O268" i="3"/>
  <c r="F269" i="3"/>
  <c r="O269" i="3"/>
  <c r="F270" i="3"/>
  <c r="O270" i="3"/>
  <c r="F271" i="3"/>
  <c r="O271" i="3"/>
  <c r="F272" i="3"/>
  <c r="O272" i="3"/>
  <c r="F273" i="3"/>
  <c r="O273" i="3"/>
  <c r="F274" i="3"/>
  <c r="O274" i="3"/>
  <c r="F275" i="3"/>
  <c r="O275" i="3"/>
  <c r="F276" i="3"/>
  <c r="O276" i="3"/>
  <c r="F277" i="3"/>
  <c r="O277" i="3"/>
  <c r="F278" i="3"/>
  <c r="O278" i="3"/>
  <c r="F279" i="3"/>
  <c r="O279" i="3"/>
  <c r="F280" i="3"/>
  <c r="O280" i="3"/>
  <c r="O282" i="3"/>
  <c r="F283" i="3"/>
  <c r="O283" i="3"/>
  <c r="F284" i="3"/>
  <c r="O284" i="3"/>
  <c r="F285" i="3"/>
  <c r="O285" i="3"/>
  <c r="F286" i="3"/>
  <c r="O286" i="3"/>
  <c r="F287" i="3"/>
  <c r="O287" i="3"/>
  <c r="F288" i="3"/>
  <c r="O288" i="3"/>
  <c r="F289" i="3"/>
  <c r="O289" i="3"/>
  <c r="F290" i="3"/>
  <c r="O290" i="3"/>
  <c r="F291" i="3"/>
  <c r="O291" i="3"/>
  <c r="F292" i="3"/>
  <c r="O292" i="3"/>
  <c r="F293" i="3"/>
  <c r="O293" i="3"/>
  <c r="O294" i="3"/>
  <c r="F295" i="3"/>
  <c r="O295" i="3"/>
  <c r="F296" i="3"/>
  <c r="O296" i="3"/>
  <c r="F297" i="3"/>
  <c r="O297" i="3"/>
  <c r="F298" i="3"/>
  <c r="O298" i="3"/>
  <c r="F299" i="3"/>
  <c r="O299" i="3"/>
  <c r="F300" i="3"/>
  <c r="O300" i="3"/>
  <c r="F301" i="3"/>
  <c r="O301" i="3"/>
  <c r="F302" i="3"/>
  <c r="O302" i="3"/>
  <c r="F303" i="3"/>
  <c r="O303" i="3"/>
  <c r="F304" i="3"/>
  <c r="O304" i="3"/>
  <c r="F305" i="3"/>
  <c r="O305" i="3"/>
  <c r="F306" i="3"/>
  <c r="O306" i="3"/>
  <c r="F307" i="3"/>
  <c r="O307" i="3"/>
  <c r="F308" i="3"/>
  <c r="O308" i="3"/>
  <c r="F309" i="3"/>
  <c r="O309" i="3"/>
  <c r="F310" i="3"/>
  <c r="O310" i="3"/>
  <c r="F311" i="3"/>
  <c r="O311" i="3"/>
  <c r="F312" i="3"/>
  <c r="O312" i="3"/>
  <c r="F313" i="3"/>
  <c r="O313" i="3"/>
  <c r="F314" i="3"/>
  <c r="O314" i="3"/>
  <c r="F315" i="3"/>
  <c r="O315" i="3"/>
  <c r="F316" i="3"/>
  <c r="O316" i="3"/>
  <c r="F317" i="3"/>
  <c r="O317" i="3"/>
  <c r="F318" i="3"/>
  <c r="O318" i="3"/>
  <c r="F319" i="3"/>
  <c r="O319" i="3"/>
  <c r="F320" i="3"/>
  <c r="O320" i="3"/>
  <c r="F321" i="3"/>
  <c r="O321" i="3"/>
  <c r="F322" i="3"/>
  <c r="O322" i="3"/>
  <c r="F323" i="3"/>
  <c r="O323" i="3"/>
  <c r="F324" i="3"/>
  <c r="O324" i="3"/>
  <c r="F325" i="3"/>
  <c r="O325" i="3"/>
  <c r="F326" i="3"/>
  <c r="O326" i="3"/>
  <c r="F327" i="3"/>
  <c r="O327" i="3"/>
  <c r="F328" i="3"/>
  <c r="O328" i="3"/>
  <c r="F329" i="3"/>
  <c r="O329" i="3"/>
  <c r="F330" i="3"/>
  <c r="O330" i="3"/>
  <c r="F331" i="3"/>
  <c r="O331" i="3"/>
  <c r="F332" i="3"/>
  <c r="O332" i="3"/>
  <c r="F333" i="3"/>
  <c r="O333" i="3"/>
  <c r="F334" i="3"/>
  <c r="O334" i="3"/>
  <c r="F335" i="3"/>
  <c r="O335" i="3"/>
  <c r="F336" i="3"/>
  <c r="O336" i="3"/>
  <c r="F337" i="3"/>
  <c r="O337" i="3"/>
  <c r="O339" i="3"/>
  <c r="F340" i="3"/>
  <c r="O340" i="3"/>
  <c r="F341" i="3"/>
  <c r="O341" i="3"/>
  <c r="F342" i="3"/>
  <c r="O342" i="3"/>
  <c r="F343" i="3"/>
  <c r="O343" i="3"/>
  <c r="F344" i="3"/>
  <c r="O344" i="3"/>
  <c r="F345" i="3"/>
  <c r="O345" i="3"/>
  <c r="F347" i="3"/>
  <c r="O347" i="3"/>
  <c r="F348" i="3"/>
  <c r="O348" i="3"/>
  <c r="F351" i="3"/>
  <c r="F352" i="3"/>
  <c r="O352" i="3"/>
  <c r="O353" i="3"/>
  <c r="F354" i="3"/>
  <c r="O354" i="3"/>
  <c r="F355" i="3"/>
  <c r="O355" i="3"/>
  <c r="F356" i="3"/>
  <c r="O356" i="3"/>
  <c r="F357" i="3"/>
  <c r="O357" i="3"/>
  <c r="O358" i="3"/>
  <c r="F359" i="3"/>
  <c r="O359" i="3"/>
  <c r="F360" i="3"/>
  <c r="O360" i="3"/>
  <c r="F361" i="3"/>
  <c r="O361" i="3"/>
  <c r="F362" i="3"/>
  <c r="O362" i="3"/>
  <c r="O363" i="3"/>
  <c r="F364" i="3"/>
  <c r="O364" i="3"/>
  <c r="F365" i="3"/>
  <c r="O365" i="3"/>
  <c r="F366" i="3"/>
  <c r="O366" i="3"/>
  <c r="F367" i="3"/>
  <c r="O367" i="3"/>
  <c r="O368" i="3"/>
  <c r="F369" i="3"/>
  <c r="O369" i="3"/>
  <c r="F370" i="3"/>
  <c r="O370" i="3"/>
  <c r="F371" i="3"/>
  <c r="O371" i="3"/>
  <c r="F372" i="3"/>
  <c r="O372" i="3"/>
  <c r="O373" i="3"/>
  <c r="F374" i="3"/>
  <c r="O374" i="3"/>
  <c r="F375" i="3"/>
  <c r="O375" i="3"/>
  <c r="F376" i="3"/>
  <c r="O376" i="3"/>
  <c r="F377" i="3"/>
  <c r="O377" i="3"/>
  <c r="P388" i="3"/>
  <c r="B2" i="2"/>
  <c r="B5" i="2"/>
  <c r="I3" i="3" s="1"/>
  <c r="E13" i="2"/>
  <c r="E23" i="2" s="1"/>
  <c r="O13" i="2"/>
  <c r="P13" i="2"/>
  <c r="O14" i="2"/>
  <c r="P14" i="2"/>
  <c r="O15" i="2"/>
  <c r="P15" i="2"/>
  <c r="O16" i="2"/>
  <c r="P16" i="2"/>
  <c r="O17" i="2"/>
  <c r="P17" i="2"/>
  <c r="O18" i="2"/>
  <c r="P18" i="2"/>
  <c r="O19" i="2"/>
  <c r="P19" i="2"/>
  <c r="O20" i="2"/>
  <c r="P20" i="2"/>
  <c r="O21" i="2"/>
  <c r="P21" i="2"/>
  <c r="O22" i="2"/>
  <c r="P22" i="2"/>
  <c r="I35" i="2"/>
  <c r="L37" i="2"/>
  <c r="L48" i="2" s="1"/>
  <c r="H46" i="2" s="1"/>
  <c r="A41" i="2"/>
  <c r="L43" i="2"/>
  <c r="C67" i="2"/>
  <c r="I74" i="2"/>
  <c r="I75" i="2"/>
  <c r="I76" i="2"/>
  <c r="D73" i="2"/>
  <c r="D74" i="2"/>
  <c r="D75" i="2"/>
  <c r="O62" i="2"/>
  <c r="D77" i="2"/>
  <c r="D78" i="2"/>
  <c r="D79" i="2"/>
  <c r="D80" i="2"/>
  <c r="A73" i="2"/>
  <c r="F73" i="2"/>
  <c r="A74" i="2"/>
  <c r="F74" i="2"/>
  <c r="A75" i="2"/>
  <c r="F75" i="2"/>
  <c r="A76" i="2"/>
  <c r="F76" i="2"/>
  <c r="A77" i="2"/>
  <c r="A78" i="2"/>
  <c r="A79" i="2"/>
  <c r="A80" i="2"/>
  <c r="CU412" i="4"/>
  <c r="CU440" i="4" s="1"/>
  <c r="CU176" i="4"/>
  <c r="CV458" i="4" l="1"/>
  <c r="T3" i="3"/>
  <c r="F61" i="15"/>
  <c r="F65" i="15"/>
  <c r="C39" i="2"/>
  <c r="B34" i="5"/>
  <c r="Q318" i="3"/>
  <c r="Q195" i="3"/>
  <c r="Q328" i="3"/>
  <c r="Q94" i="3"/>
  <c r="Q272" i="3"/>
  <c r="Q220" i="3"/>
  <c r="Q316" i="3"/>
  <c r="Q194" i="3"/>
  <c r="Q325" i="3"/>
  <c r="Q324" i="3"/>
  <c r="Q267" i="3"/>
  <c r="Q207" i="3"/>
  <c r="Q315" i="3"/>
  <c r="Q255" i="3"/>
  <c r="Q82" i="3"/>
  <c r="Q270" i="3"/>
  <c r="Q321" i="3"/>
  <c r="Q313" i="3"/>
  <c r="Q254" i="3"/>
  <c r="Q84" i="3"/>
  <c r="Q307" i="3"/>
  <c r="Q327" i="3"/>
  <c r="Q322" i="3"/>
  <c r="Q312" i="3"/>
  <c r="Q55" i="3"/>
  <c r="Q268" i="3"/>
  <c r="Q319" i="3"/>
  <c r="F91" i="15"/>
  <c r="F103" i="15"/>
  <c r="F115" i="15"/>
  <c r="F127" i="15"/>
  <c r="F139" i="15"/>
  <c r="F151" i="15"/>
  <c r="F163" i="15"/>
  <c r="F79" i="15"/>
  <c r="F26" i="15"/>
  <c r="H136" i="2"/>
  <c r="F74" i="15"/>
  <c r="H131" i="2"/>
  <c r="F51" i="15"/>
  <c r="H129" i="2" s="1"/>
  <c r="F75" i="15"/>
  <c r="F30" i="15"/>
  <c r="F20" i="15"/>
  <c r="F58" i="15"/>
  <c r="F89" i="15"/>
  <c r="F80" i="15"/>
  <c r="F92" i="15"/>
  <c r="F104" i="15"/>
  <c r="F116" i="15"/>
  <c r="F128" i="15"/>
  <c r="F140" i="15"/>
  <c r="F152" i="15"/>
  <c r="F164" i="15"/>
  <c r="F27" i="15"/>
  <c r="F39" i="15"/>
  <c r="F63" i="15"/>
  <c r="F18" i="15"/>
  <c r="F2" i="15"/>
  <c r="H128" i="2" s="1"/>
  <c r="F33" i="15"/>
  <c r="F101" i="15"/>
  <c r="F81" i="15"/>
  <c r="F93" i="15"/>
  <c r="H140" i="2" s="1"/>
  <c r="F105" i="15"/>
  <c r="F117" i="15"/>
  <c r="F129" i="15"/>
  <c r="F141" i="15"/>
  <c r="F153" i="15"/>
  <c r="F165" i="15"/>
  <c r="F4" i="15"/>
  <c r="H130" i="2" s="1"/>
  <c r="F16" i="15"/>
  <c r="F28" i="15"/>
  <c r="F40" i="15"/>
  <c r="F6" i="15"/>
  <c r="F137" i="15"/>
  <c r="F82" i="15"/>
  <c r="F94" i="15"/>
  <c r="H142" i="2" s="1"/>
  <c r="F106" i="15"/>
  <c r="F118" i="15"/>
  <c r="F130" i="15"/>
  <c r="F142" i="15"/>
  <c r="F154" i="15"/>
  <c r="F166" i="15"/>
  <c r="F5" i="15"/>
  <c r="F17" i="15"/>
  <c r="F29" i="15"/>
  <c r="F41" i="15"/>
  <c r="F53" i="15"/>
  <c r="H135" i="2" s="1"/>
  <c r="F155" i="15"/>
  <c r="F157" i="15"/>
  <c r="F113" i="15"/>
  <c r="F83" i="15"/>
  <c r="F95" i="15"/>
  <c r="F107" i="15"/>
  <c r="F119" i="15"/>
  <c r="F131" i="15"/>
  <c r="F143" i="15"/>
  <c r="F167" i="15"/>
  <c r="F42" i="15"/>
  <c r="F169" i="15"/>
  <c r="F149" i="15"/>
  <c r="F60" i="15"/>
  <c r="F84" i="15"/>
  <c r="F96" i="15"/>
  <c r="F108" i="15"/>
  <c r="F120" i="15"/>
  <c r="F132" i="15"/>
  <c r="F144" i="15"/>
  <c r="F156" i="15"/>
  <c r="F168" i="15"/>
  <c r="F7" i="15"/>
  <c r="F19" i="15"/>
  <c r="F55" i="15"/>
  <c r="F59" i="15"/>
  <c r="F161" i="15"/>
  <c r="F85" i="15"/>
  <c r="F97" i="15"/>
  <c r="F109" i="15"/>
  <c r="F121" i="15"/>
  <c r="F133" i="15"/>
  <c r="F145" i="15"/>
  <c r="F57" i="15"/>
  <c r="F86" i="15"/>
  <c r="F98" i="15"/>
  <c r="F110" i="15"/>
  <c r="F122" i="15"/>
  <c r="F134" i="15"/>
  <c r="F146" i="15"/>
  <c r="F158" i="15"/>
  <c r="F170" i="15"/>
  <c r="F173" i="15"/>
  <c r="F87" i="15"/>
  <c r="F99" i="15"/>
  <c r="F111" i="15"/>
  <c r="F123" i="15"/>
  <c r="F135" i="15"/>
  <c r="F147" i="15"/>
  <c r="F159" i="15"/>
  <c r="F171" i="15"/>
  <c r="H144" i="2" s="1"/>
  <c r="F34" i="15"/>
  <c r="F70" i="15"/>
  <c r="H138" i="2" s="1"/>
  <c r="F125" i="15"/>
  <c r="F88" i="15"/>
  <c r="F100" i="15"/>
  <c r="F112" i="15"/>
  <c r="F124" i="15"/>
  <c r="F136" i="15"/>
  <c r="F148" i="15"/>
  <c r="F160" i="15"/>
  <c r="F172" i="15"/>
  <c r="F35" i="15"/>
  <c r="F24" i="15"/>
  <c r="F90" i="15"/>
  <c r="F102" i="15"/>
  <c r="F114" i="15"/>
  <c r="F126" i="15"/>
  <c r="F138" i="15"/>
  <c r="F150" i="15"/>
  <c r="F162" i="15"/>
  <c r="F174" i="15"/>
  <c r="F25" i="15"/>
  <c r="F37" i="15"/>
  <c r="D76" i="2"/>
  <c r="L68" i="2"/>
  <c r="D10" i="2"/>
  <c r="AS458" i="4"/>
  <c r="CH462" i="4"/>
  <c r="BV461" i="4"/>
  <c r="BF462" i="4"/>
  <c r="U458" i="4"/>
  <c r="I462" i="4"/>
  <c r="C339" i="3"/>
  <c r="I346" i="3"/>
  <c r="O460" i="4"/>
  <c r="BS459" i="4"/>
  <c r="CQ462" i="4"/>
  <c r="CD461" i="4"/>
  <c r="BR459" i="4"/>
  <c r="AX462" i="4"/>
  <c r="AD458" i="4"/>
  <c r="Q462" i="4"/>
  <c r="T462" i="4"/>
  <c r="DA458" i="4"/>
  <c r="CV462" i="4"/>
  <c r="CQ461" i="4"/>
  <c r="CL458" i="4"/>
  <c r="CH461" i="4"/>
  <c r="CD459" i="4"/>
  <c r="BZ458" i="4"/>
  <c r="BV458" i="4"/>
  <c r="BR458" i="4"/>
  <c r="BN462" i="4"/>
  <c r="BJ462" i="4"/>
  <c r="BF461" i="4"/>
  <c r="BB462" i="4"/>
  <c r="AT458" i="4"/>
  <c r="AO459" i="4"/>
  <c r="AJ458" i="4"/>
  <c r="AD462" i="4"/>
  <c r="Y462" i="4"/>
  <c r="U462" i="4"/>
  <c r="Q461" i="4"/>
  <c r="M462" i="4"/>
  <c r="DD460" i="4"/>
  <c r="CU458" i="4"/>
  <c r="AQ201" i="17"/>
  <c r="AN201" i="17"/>
  <c r="AK202" i="17"/>
  <c r="E96" i="3"/>
  <c r="F96" i="3" s="1"/>
  <c r="E100" i="3"/>
  <c r="E95" i="3"/>
  <c r="Q95" i="3" s="1"/>
  <c r="E99" i="3"/>
  <c r="Q99" i="3" s="1"/>
  <c r="AQ202" i="17"/>
  <c r="AN202" i="17"/>
  <c r="AK201" i="17"/>
  <c r="E97" i="3"/>
  <c r="Q97" i="3" s="1"/>
  <c r="E101" i="3"/>
  <c r="G5" i="2" s="1"/>
  <c r="AN200" i="17"/>
  <c r="AQ203" i="17"/>
  <c r="AN203" i="17"/>
  <c r="AK200" i="17"/>
  <c r="E98" i="3"/>
  <c r="F98" i="3" s="1"/>
  <c r="E102" i="3"/>
  <c r="I5" i="2" s="1"/>
  <c r="AQ200" i="17"/>
  <c r="E103" i="3"/>
  <c r="B96" i="3"/>
  <c r="H2" i="2" s="1"/>
  <c r="B100" i="3"/>
  <c r="B95" i="3"/>
  <c r="F2" i="2" s="1"/>
  <c r="T8" i="3"/>
  <c r="T12" i="3"/>
  <c r="T16" i="3"/>
  <c r="T20" i="3"/>
  <c r="T24" i="3"/>
  <c r="T28" i="3"/>
  <c r="T32" i="3"/>
  <c r="T36" i="3"/>
  <c r="T40" i="3"/>
  <c r="T44" i="3"/>
  <c r="T334" i="3"/>
  <c r="T330" i="3"/>
  <c r="T326" i="3"/>
  <c r="T322" i="3"/>
  <c r="T318" i="3"/>
  <c r="T314" i="3"/>
  <c r="Q148" i="3"/>
  <c r="Q81" i="3"/>
  <c r="Q42" i="3"/>
  <c r="Q26" i="3"/>
  <c r="Q6" i="3"/>
  <c r="S35" i="3"/>
  <c r="R7" i="3"/>
  <c r="R14" i="3"/>
  <c r="R37" i="3"/>
  <c r="B102" i="3"/>
  <c r="H5" i="2" s="1"/>
  <c r="T6" i="3"/>
  <c r="T18" i="3"/>
  <c r="T22" i="3"/>
  <c r="T34" i="3"/>
  <c r="T42" i="3"/>
  <c r="T332" i="3"/>
  <c r="T324" i="3"/>
  <c r="Q106" i="3"/>
  <c r="Q38" i="3"/>
  <c r="S37" i="3"/>
  <c r="R9" i="3"/>
  <c r="R34" i="3"/>
  <c r="B97" i="3"/>
  <c r="F3" i="2" s="1"/>
  <c r="B101" i="3"/>
  <c r="F5" i="2" s="1"/>
  <c r="T5" i="3"/>
  <c r="T9" i="3"/>
  <c r="T13" i="3"/>
  <c r="T17" i="3"/>
  <c r="T21" i="3"/>
  <c r="T25" i="3"/>
  <c r="T29" i="3"/>
  <c r="T33" i="3"/>
  <c r="T37" i="3"/>
  <c r="T41" i="3"/>
  <c r="T45" i="3"/>
  <c r="T337" i="3"/>
  <c r="T333" i="3"/>
  <c r="T329" i="3"/>
  <c r="T325" i="3"/>
  <c r="T321" i="3"/>
  <c r="T317" i="3"/>
  <c r="T313" i="3"/>
  <c r="Q147" i="3"/>
  <c r="Q58" i="3"/>
  <c r="Q39" i="3"/>
  <c r="Q9" i="3"/>
  <c r="Q5" i="3"/>
  <c r="S34" i="3"/>
  <c r="R8" i="3"/>
  <c r="R15" i="3"/>
  <c r="R35" i="3"/>
  <c r="B154" i="4"/>
  <c r="B98" i="3"/>
  <c r="H3" i="2" s="1"/>
  <c r="T10" i="3"/>
  <c r="T14" i="3"/>
  <c r="T26" i="3"/>
  <c r="T30" i="3"/>
  <c r="T38" i="3"/>
  <c r="T4" i="3"/>
  <c r="T336" i="3"/>
  <c r="T328" i="3"/>
  <c r="T320" i="3"/>
  <c r="T316" i="3"/>
  <c r="Q189" i="3"/>
  <c r="Q56" i="3"/>
  <c r="Q8" i="3"/>
  <c r="R5" i="3"/>
  <c r="R4" i="3"/>
  <c r="B99" i="3"/>
  <c r="F4" i="2" s="1"/>
  <c r="B103" i="3"/>
  <c r="F6" i="2" s="1"/>
  <c r="T7" i="3"/>
  <c r="T11" i="3"/>
  <c r="T15" i="3"/>
  <c r="T19" i="3"/>
  <c r="T23" i="3"/>
  <c r="T27" i="3"/>
  <c r="T31" i="3"/>
  <c r="T35" i="3"/>
  <c r="T39" i="3"/>
  <c r="T43" i="3"/>
  <c r="T335" i="3"/>
  <c r="T331" i="3"/>
  <c r="T327" i="3"/>
  <c r="T323" i="3"/>
  <c r="T319" i="3"/>
  <c r="T315" i="3"/>
  <c r="Q155" i="3"/>
  <c r="Q32" i="3"/>
  <c r="Q7" i="3"/>
  <c r="S36" i="3"/>
  <c r="R6" i="3"/>
  <c r="R10" i="3"/>
  <c r="R36" i="3"/>
  <c r="DB460" i="4"/>
  <c r="CN461" i="4"/>
  <c r="CA459" i="4"/>
  <c r="BO460" i="4"/>
  <c r="BG460" i="4"/>
  <c r="BC462" i="4"/>
  <c r="AP459" i="4"/>
  <c r="AA462" i="4"/>
  <c r="N462" i="4"/>
  <c r="F461" i="4"/>
  <c r="I461" i="4"/>
  <c r="I458" i="4"/>
  <c r="AD459" i="4"/>
  <c r="BB459" i="4"/>
  <c r="BV462" i="4"/>
  <c r="N458" i="4"/>
  <c r="AT460" i="4"/>
  <c r="DD462" i="4"/>
  <c r="D20" i="2"/>
  <c r="L20" i="2" s="1"/>
  <c r="K20" i="2" s="1"/>
  <c r="Q458" i="4"/>
  <c r="AJ461" i="4"/>
  <c r="AT461" i="4"/>
  <c r="BF458" i="4"/>
  <c r="BR461" i="4"/>
  <c r="CD462" i="4"/>
  <c r="CH458" i="4"/>
  <c r="CQ458" i="4"/>
  <c r="CN460" i="4"/>
  <c r="BF460" i="4"/>
  <c r="I459" i="4"/>
  <c r="Q459" i="4"/>
  <c r="U461" i="4"/>
  <c r="AD461" i="4"/>
  <c r="AJ462" i="4"/>
  <c r="AT462" i="4"/>
  <c r="BF459" i="4"/>
  <c r="BR462" i="4"/>
  <c r="CD458" i="4"/>
  <c r="CQ459" i="4"/>
  <c r="CV461" i="4"/>
  <c r="BC458" i="4"/>
  <c r="CO462" i="4"/>
  <c r="CB462" i="4"/>
  <c r="BP458" i="4"/>
  <c r="D16" i="2"/>
  <c r="L16" i="2" s="1"/>
  <c r="K16" i="2" s="1"/>
  <c r="BN458" i="4"/>
  <c r="CI461" i="4"/>
  <c r="BW460" i="4"/>
  <c r="BK460" i="4"/>
  <c r="AY461" i="4"/>
  <c r="AK460" i="4"/>
  <c r="V461" i="4"/>
  <c r="J459" i="4"/>
  <c r="D18" i="2"/>
  <c r="L18" i="2" s="1"/>
  <c r="K18" i="2" s="1"/>
  <c r="B9" i="2"/>
  <c r="H29" i="2"/>
  <c r="H22" i="2"/>
  <c r="H18" i="2"/>
  <c r="H14" i="2"/>
  <c r="L5" i="2"/>
  <c r="N68" i="2" s="1"/>
  <c r="H28" i="2"/>
  <c r="H21" i="2"/>
  <c r="H17" i="2"/>
  <c r="H13" i="2"/>
  <c r="H26" i="2"/>
  <c r="H20" i="2"/>
  <c r="H16" i="2"/>
  <c r="H27" i="2"/>
  <c r="H25" i="2"/>
  <c r="H19" i="2"/>
  <c r="H15" i="2"/>
  <c r="BC459" i="4"/>
  <c r="BA462" i="4"/>
  <c r="CN459" i="4"/>
  <c r="AO461" i="4"/>
  <c r="AA458" i="4"/>
  <c r="BO462" i="4"/>
  <c r="DB462" i="4"/>
  <c r="D21" i="2"/>
  <c r="L21" i="2" s="1"/>
  <c r="K21" i="2" s="1"/>
  <c r="BY461" i="4"/>
  <c r="Y459" i="4"/>
  <c r="AO460" i="4"/>
  <c r="M459" i="4"/>
  <c r="Y461" i="4"/>
  <c r="AO462" i="4"/>
  <c r="AA459" i="4"/>
  <c r="BO458" i="4"/>
  <c r="DB458" i="4"/>
  <c r="BV459" i="4"/>
  <c r="AX460" i="4"/>
  <c r="AJ459" i="4"/>
  <c r="CN458" i="4"/>
  <c r="M461" i="4"/>
  <c r="DA459" i="4"/>
  <c r="AP460" i="4"/>
  <c r="BO459" i="4"/>
  <c r="DB459" i="4"/>
  <c r="AA460" i="4"/>
  <c r="L459" i="4"/>
  <c r="BB458" i="4"/>
  <c r="AO458" i="4"/>
  <c r="CL460" i="4"/>
  <c r="DA461" i="4"/>
  <c r="AP462" i="4"/>
  <c r="M458" i="4"/>
  <c r="BZ459" i="4"/>
  <c r="CL461" i="4"/>
  <c r="DA462" i="4"/>
  <c r="AP458" i="4"/>
  <c r="CA460" i="4"/>
  <c r="CB459" i="4"/>
  <c r="CS461" i="4"/>
  <c r="BB461" i="4"/>
  <c r="N459" i="4"/>
  <c r="AM459" i="4"/>
  <c r="CL459" i="4"/>
  <c r="AC461" i="4"/>
  <c r="CN462" i="4"/>
  <c r="X458" i="4"/>
  <c r="CY461" i="4"/>
  <c r="Y458" i="4"/>
  <c r="BN459" i="4"/>
  <c r="CL462" i="4"/>
  <c r="CA462" i="4"/>
  <c r="BZ462" i="4"/>
  <c r="BC460" i="4"/>
  <c r="CZ458" i="4"/>
  <c r="AP461" i="4"/>
  <c r="BZ461" i="4"/>
  <c r="BN461" i="4"/>
  <c r="N460" i="4"/>
  <c r="CA458" i="4"/>
  <c r="DC461" i="4"/>
  <c r="BZ460" i="4"/>
  <c r="BX461" i="4"/>
  <c r="AL462" i="4"/>
  <c r="K459" i="4"/>
  <c r="CS459" i="4"/>
  <c r="CE459" i="4"/>
  <c r="BS458" i="4"/>
  <c r="BG459" i="4"/>
  <c r="AU459" i="4"/>
  <c r="AF458" i="4"/>
  <c r="R458" i="4"/>
  <c r="F459" i="4"/>
  <c r="CD460" i="4"/>
  <c r="CX459" i="4"/>
  <c r="CI458" i="4"/>
  <c r="CI459" i="4"/>
  <c r="CP462" i="4"/>
  <c r="AS459" i="4"/>
  <c r="P459" i="4"/>
  <c r="DC460" i="4"/>
  <c r="BK458" i="4"/>
  <c r="BO461" i="4"/>
  <c r="BC461" i="4"/>
  <c r="N461" i="4"/>
  <c r="AK458" i="4"/>
  <c r="D15" i="2"/>
  <c r="L15" i="2" s="1"/>
  <c r="K15" i="2" s="1"/>
  <c r="CK459" i="4"/>
  <c r="BY460" i="4"/>
  <c r="DC462" i="4"/>
  <c r="U459" i="4"/>
  <c r="V460" i="4"/>
  <c r="V462" i="4"/>
  <c r="AY460" i="4"/>
  <c r="BP462" i="4"/>
  <c r="CG462" i="4"/>
  <c r="BI460" i="4"/>
  <c r="AW458" i="4"/>
  <c r="AH461" i="4"/>
  <c r="T458" i="4"/>
  <c r="H461" i="4"/>
  <c r="V458" i="4"/>
  <c r="V459" i="4"/>
  <c r="AY459" i="4"/>
  <c r="BW458" i="4"/>
  <c r="CX458" i="4"/>
  <c r="C42" i="5"/>
  <c r="L458" i="4"/>
  <c r="AD460" i="4"/>
  <c r="D17" i="2"/>
  <c r="L17" i="2" s="1"/>
  <c r="K17" i="2" s="1"/>
  <c r="BW459" i="4"/>
  <c r="BQ458" i="4"/>
  <c r="BE459" i="4"/>
  <c r="BW461" i="4"/>
  <c r="AF461" i="4"/>
  <c r="AY458" i="4"/>
  <c r="J462" i="4"/>
  <c r="J458" i="4"/>
  <c r="CO458" i="4"/>
  <c r="CB460" i="4"/>
  <c r="BP459" i="4"/>
  <c r="BD462" i="4"/>
  <c r="AQ461" i="4"/>
  <c r="AB462" i="4"/>
  <c r="O461" i="4"/>
  <c r="AU460" i="4"/>
  <c r="BG462" i="4"/>
  <c r="AQ462" i="4"/>
  <c r="DD459" i="4"/>
  <c r="AU462" i="4"/>
  <c r="BG458" i="4"/>
  <c r="R461" i="4"/>
  <c r="CO459" i="4"/>
  <c r="DD458" i="4"/>
  <c r="BG461" i="4"/>
  <c r="AU458" i="4"/>
  <c r="BQ459" i="4"/>
  <c r="BE460" i="4"/>
  <c r="AC460" i="4"/>
  <c r="DB461" i="4"/>
  <c r="F460" i="4"/>
  <c r="R462" i="4"/>
  <c r="AF462" i="4"/>
  <c r="CS460" i="4"/>
  <c r="CO461" i="4"/>
  <c r="CO460" i="4"/>
  <c r="BD459" i="4"/>
  <c r="R460" i="4"/>
  <c r="CB461" i="4"/>
  <c r="CZ460" i="4"/>
  <c r="CK460" i="4"/>
  <c r="BA461" i="4"/>
  <c r="AM458" i="4"/>
  <c r="X459" i="4"/>
  <c r="F462" i="4"/>
  <c r="AF459" i="4"/>
  <c r="CY462" i="4"/>
  <c r="AF460" i="4"/>
  <c r="F458" i="4"/>
  <c r="BS461" i="4"/>
  <c r="CX462" i="4"/>
  <c r="R459" i="4"/>
  <c r="CS458" i="4"/>
  <c r="BS460" i="4"/>
  <c r="CE458" i="4"/>
  <c r="BQ461" i="4"/>
  <c r="BQ460" i="4"/>
  <c r="CB458" i="4"/>
  <c r="CS462" i="4"/>
  <c r="CE460" i="4"/>
  <c r="CE462" i="4"/>
  <c r="BS462" i="4"/>
  <c r="BP461" i="4"/>
  <c r="BP460" i="4"/>
  <c r="AW462" i="4"/>
  <c r="AH460" i="4"/>
  <c r="BQ462" i="4"/>
  <c r="BE458" i="4"/>
  <c r="CF462" i="4"/>
  <c r="BH459" i="4"/>
  <c r="AG460" i="4"/>
  <c r="S461" i="4"/>
  <c r="G458" i="4"/>
  <c r="B35" i="5"/>
  <c r="S25" i="3"/>
  <c r="S22" i="3"/>
  <c r="S24" i="3"/>
  <c r="S23" i="3"/>
  <c r="S20" i="3"/>
  <c r="S26" i="3"/>
  <c r="S19" i="3"/>
  <c r="S21" i="3"/>
  <c r="S28" i="3"/>
  <c r="S27" i="3"/>
  <c r="AA158" i="4"/>
  <c r="R41" i="3" s="1"/>
  <c r="I373" i="3"/>
  <c r="I339" i="3"/>
  <c r="I368" i="3"/>
  <c r="I363" i="3"/>
  <c r="I358" i="3"/>
  <c r="I353" i="3"/>
  <c r="C156" i="3"/>
  <c r="C149" i="3"/>
  <c r="I267" i="3"/>
  <c r="I254" i="3"/>
  <c r="I320" i="3"/>
  <c r="I294" i="3"/>
  <c r="I334" i="3"/>
  <c r="I257" i="3"/>
  <c r="I312" i="3"/>
  <c r="I330" i="3"/>
  <c r="I316" i="3"/>
  <c r="I307" i="3"/>
  <c r="I272" i="3"/>
  <c r="I328" i="3"/>
  <c r="I324" i="3"/>
  <c r="I282" i="3"/>
  <c r="BX458" i="4"/>
  <c r="BL458" i="4"/>
  <c r="AZ459" i="4"/>
  <c r="AL460" i="4"/>
  <c r="W462" i="4"/>
  <c r="K461" i="4"/>
  <c r="AH462" i="4"/>
  <c r="T461" i="4"/>
  <c r="G460" i="4"/>
  <c r="AY462" i="4"/>
  <c r="BK459" i="4"/>
  <c r="BX460" i="4"/>
  <c r="J460" i="4"/>
  <c r="CV459" i="4"/>
  <c r="CH459" i="4"/>
  <c r="BJ459" i="4"/>
  <c r="AX459" i="4"/>
  <c r="I460" i="4"/>
  <c r="D6" i="2"/>
  <c r="G346" i="3"/>
  <c r="BX462" i="4"/>
  <c r="X462" i="4"/>
  <c r="CU459" i="4"/>
  <c r="CG459" i="4"/>
  <c r="BU461" i="4"/>
  <c r="BI458" i="4"/>
  <c r="T459" i="4"/>
  <c r="L462" i="4"/>
  <c r="G461" i="4"/>
  <c r="BL460" i="4"/>
  <c r="G459" i="4"/>
  <c r="H458" i="4"/>
  <c r="BT458" i="4"/>
  <c r="BH460" i="4"/>
  <c r="AV458" i="4"/>
  <c r="AG458" i="4"/>
  <c r="S458" i="4"/>
  <c r="S57" i="3"/>
  <c r="BL462" i="4"/>
  <c r="G462" i="4"/>
  <c r="BL461" i="4"/>
  <c r="BA460" i="4"/>
  <c r="BX459" i="4"/>
  <c r="CE461" i="4"/>
  <c r="Q460" i="4"/>
  <c r="BI462" i="4"/>
  <c r="BU459" i="4"/>
  <c r="DD461" i="4"/>
  <c r="AS460" i="4"/>
  <c r="AC462" i="4"/>
  <c r="P460" i="4"/>
  <c r="CT458" i="4"/>
  <c r="CZ461" i="4"/>
  <c r="CG458" i="4"/>
  <c r="BD458" i="4"/>
  <c r="AQ460" i="4"/>
  <c r="AB461" i="4"/>
  <c r="CX460" i="4"/>
  <c r="BL459" i="4"/>
  <c r="CI460" i="4"/>
  <c r="CI462" i="4"/>
  <c r="CK461" i="4"/>
  <c r="CA461" i="4"/>
  <c r="DA460" i="4"/>
  <c r="BN460" i="4"/>
  <c r="Y460" i="4"/>
  <c r="M460" i="4"/>
  <c r="X460" i="4"/>
  <c r="CZ459" i="4"/>
  <c r="CK462" i="4"/>
  <c r="AM460" i="4"/>
  <c r="L460" i="4"/>
  <c r="I251" i="3"/>
  <c r="K251" i="3" s="1"/>
  <c r="K253" i="3" s="1"/>
  <c r="I220" i="3"/>
  <c r="I195" i="3"/>
  <c r="I168" i="3"/>
  <c r="I137" i="3"/>
  <c r="I82" i="3"/>
  <c r="I55" i="3"/>
  <c r="I21" i="3"/>
  <c r="I10" i="3"/>
  <c r="I39" i="3"/>
  <c r="I175" i="3"/>
  <c r="I94" i="3"/>
  <c r="I246" i="3"/>
  <c r="I218" i="3"/>
  <c r="I189" i="3"/>
  <c r="I163" i="3"/>
  <c r="I130" i="3"/>
  <c r="I80" i="3"/>
  <c r="I8" i="3"/>
  <c r="I32" i="3"/>
  <c r="I230" i="3"/>
  <c r="I210" i="3"/>
  <c r="I182" i="3"/>
  <c r="I158" i="3"/>
  <c r="I110" i="3"/>
  <c r="I68" i="3"/>
  <c r="I26" i="3"/>
  <c r="I5" i="3"/>
  <c r="I223" i="3"/>
  <c r="I207" i="3"/>
  <c r="I147" i="3"/>
  <c r="I58" i="3"/>
  <c r="S56" i="3"/>
  <c r="CV176" i="4"/>
  <c r="CV412" i="4"/>
  <c r="CV440" i="4" s="1"/>
  <c r="AX461" i="4"/>
  <c r="BJ461" i="4"/>
  <c r="AK462" i="4"/>
  <c r="BK462" i="4"/>
  <c r="BW462" i="4"/>
  <c r="CU461" i="4"/>
  <c r="X461" i="4"/>
  <c r="CF460" i="4"/>
  <c r="BD460" i="4"/>
  <c r="K460" i="4"/>
  <c r="CF459" i="4"/>
  <c r="AV459" i="4"/>
  <c r="S459" i="4"/>
  <c r="CK458" i="4"/>
  <c r="AZ458" i="4"/>
  <c r="P458" i="4"/>
  <c r="BK461" i="4"/>
  <c r="J461" i="4"/>
  <c r="BA458" i="4"/>
  <c r="BU462" i="4"/>
  <c r="AV462" i="4"/>
  <c r="S462" i="4"/>
  <c r="CT461" i="4"/>
  <c r="AV461" i="4"/>
  <c r="W461" i="4"/>
  <c r="H460" i="4"/>
  <c r="AX458" i="4"/>
  <c r="BJ458" i="4"/>
  <c r="AK459" i="4"/>
  <c r="D22" i="2"/>
  <c r="L22" i="2" s="1"/>
  <c r="K22" i="2" s="1"/>
  <c r="D14" i="2"/>
  <c r="L14" i="2" s="1"/>
  <c r="K14" i="2" s="1"/>
  <c r="CZ462" i="4"/>
  <c r="BT462" i="4"/>
  <c r="AS462" i="4"/>
  <c r="P462" i="4"/>
  <c r="AS461" i="4"/>
  <c r="AZ460" i="4"/>
  <c r="AB460" i="4"/>
  <c r="AQ459" i="4"/>
  <c r="CF458" i="4"/>
  <c r="AQ458" i="4"/>
  <c r="K458" i="4"/>
  <c r="BJ460" i="4"/>
  <c r="CU462" i="4"/>
  <c r="AM462" i="4"/>
  <c r="K462" i="4"/>
  <c r="AM461" i="4"/>
  <c r="CY460" i="4"/>
  <c r="AV460" i="4"/>
  <c r="W460" i="4"/>
  <c r="DC459" i="4"/>
  <c r="AL459" i="4"/>
  <c r="H459" i="4"/>
  <c r="AL458" i="4"/>
  <c r="AU461" i="4"/>
  <c r="CT462" i="4"/>
  <c r="H462" i="4"/>
  <c r="CG461" i="4"/>
  <c r="BI461" i="4"/>
  <c r="AL461" i="4"/>
  <c r="P461" i="4"/>
  <c r="CV460" i="4"/>
  <c r="BU460" i="4"/>
  <c r="T460" i="4"/>
  <c r="AH459" i="4"/>
  <c r="BU458" i="4"/>
  <c r="AH458" i="4"/>
  <c r="BR460" i="4"/>
  <c r="CQ460" i="4"/>
  <c r="D13" i="2"/>
  <c r="L13" i="2" s="1"/>
  <c r="K13" i="2" s="1"/>
  <c r="CF461" i="4"/>
  <c r="BH461" i="4"/>
  <c r="AK461" i="4"/>
  <c r="CU460" i="4"/>
  <c r="S460" i="4"/>
  <c r="CY459" i="4"/>
  <c r="AG459" i="4"/>
  <c r="BH462" i="4"/>
  <c r="AG462" i="4"/>
  <c r="BE461" i="4"/>
  <c r="CT460" i="4"/>
  <c r="BI459" i="4"/>
  <c r="AC459" i="4"/>
  <c r="DC458" i="4"/>
  <c r="AC458" i="4"/>
  <c r="A4" i="4"/>
  <c r="U460" i="4"/>
  <c r="BE462" i="4"/>
  <c r="BD461" i="4"/>
  <c r="AG461" i="4"/>
  <c r="L461" i="4"/>
  <c r="CT459" i="4"/>
  <c r="AB459" i="4"/>
  <c r="CY458" i="4"/>
  <c r="AB458" i="4"/>
  <c r="AJ460" i="4"/>
  <c r="BH458" i="4"/>
  <c r="W458" i="4"/>
  <c r="CH460" i="4"/>
  <c r="W459" i="4"/>
  <c r="D376" i="3"/>
  <c r="D377" i="3"/>
  <c r="D375" i="3"/>
  <c r="D374" i="3"/>
  <c r="BV460" i="4"/>
  <c r="AZ462" i="4"/>
  <c r="BT461" i="4"/>
  <c r="AZ461" i="4"/>
  <c r="CG460" i="4"/>
  <c r="CX461" i="4"/>
  <c r="BY458" i="4"/>
  <c r="BM458" i="4"/>
  <c r="BB460" i="4"/>
  <c r="AA461" i="4"/>
  <c r="O458" i="4"/>
  <c r="C271" i="3"/>
  <c r="C264" i="3"/>
  <c r="C127" i="3"/>
  <c r="L56" i="2"/>
  <c r="C255" i="3"/>
  <c r="C77" i="3"/>
  <c r="B343" i="3"/>
  <c r="C163" i="3"/>
  <c r="C313" i="3"/>
  <c r="C4" i="3"/>
  <c r="C8" i="3"/>
  <c r="C12" i="3"/>
  <c r="C16" i="3"/>
  <c r="C20" i="3"/>
  <c r="C24" i="3"/>
  <c r="C28" i="3"/>
  <c r="C32" i="3"/>
  <c r="C36" i="3"/>
  <c r="C40" i="3"/>
  <c r="C44" i="3"/>
  <c r="C48" i="3"/>
  <c r="C52" i="3"/>
  <c r="R1" i="3"/>
  <c r="C6" i="3"/>
  <c r="C10" i="3"/>
  <c r="C14" i="3"/>
  <c r="C18" i="3"/>
  <c r="C22" i="3"/>
  <c r="C26" i="3"/>
  <c r="C30" i="3"/>
  <c r="C38" i="3"/>
  <c r="C42" i="3"/>
  <c r="C50" i="3"/>
  <c r="D5" i="2"/>
  <c r="C15" i="3"/>
  <c r="C27" i="3"/>
  <c r="C35" i="3"/>
  <c r="C47" i="3"/>
  <c r="C5" i="3"/>
  <c r="C9" i="3"/>
  <c r="C13" i="3"/>
  <c r="C17" i="3"/>
  <c r="C21" i="3"/>
  <c r="C25" i="3"/>
  <c r="C29" i="3"/>
  <c r="C33" i="3"/>
  <c r="C37" i="3"/>
  <c r="C41" i="3"/>
  <c r="C45" i="3"/>
  <c r="C49" i="3"/>
  <c r="C53" i="3"/>
  <c r="C34" i="3"/>
  <c r="C46" i="3"/>
  <c r="C54" i="3"/>
  <c r="C3" i="3"/>
  <c r="C7" i="3"/>
  <c r="C11" i="3"/>
  <c r="C19" i="3"/>
  <c r="C23" i="3"/>
  <c r="C31" i="3"/>
  <c r="C39" i="3"/>
  <c r="C43" i="3"/>
  <c r="C51" i="3"/>
  <c r="C277" i="3"/>
  <c r="C357" i="3"/>
  <c r="C303" i="3"/>
  <c r="C173" i="3"/>
  <c r="C275" i="3"/>
  <c r="C243" i="3"/>
  <c r="C63" i="3"/>
  <c r="C213" i="3"/>
  <c r="C143" i="3"/>
  <c r="C113" i="3"/>
  <c r="C376" i="3"/>
  <c r="L19" i="2"/>
  <c r="K19" i="2" s="1"/>
  <c r="I73" i="2"/>
  <c r="C310" i="3"/>
  <c r="C299" i="3"/>
  <c r="C131" i="3"/>
  <c r="C231" i="3"/>
  <c r="C195" i="3"/>
  <c r="C227" i="3"/>
  <c r="C99" i="3"/>
  <c r="C207" i="3"/>
  <c r="C325" i="3"/>
  <c r="C234" i="3"/>
  <c r="C340" i="3"/>
  <c r="C90" i="3"/>
  <c r="C284" i="3"/>
  <c r="C160" i="3"/>
  <c r="C165" i="3"/>
  <c r="C124" i="3"/>
  <c r="C290" i="3"/>
  <c r="C219" i="3"/>
  <c r="C354" i="3"/>
  <c r="C171" i="3"/>
  <c r="C189" i="3"/>
  <c r="C187" i="3"/>
  <c r="C81" i="3"/>
  <c r="C61" i="3"/>
  <c r="C139" i="3"/>
  <c r="C190" i="3"/>
  <c r="C167" i="3"/>
  <c r="C102" i="3"/>
  <c r="C65" i="3"/>
  <c r="C116" i="3"/>
  <c r="C86" i="3"/>
  <c r="C84" i="3"/>
  <c r="C371" i="3"/>
  <c r="C296" i="3"/>
  <c r="C263" i="3"/>
  <c r="C307" i="3"/>
  <c r="B341" i="3"/>
  <c r="C112" i="3"/>
  <c r="C298" i="3"/>
  <c r="C220" i="3"/>
  <c r="C83" i="3"/>
  <c r="C230" i="3"/>
  <c r="C232" i="3"/>
  <c r="C238" i="3"/>
  <c r="C291" i="3"/>
  <c r="C309" i="3"/>
  <c r="C334" i="3"/>
  <c r="C355" i="3"/>
  <c r="C374" i="3"/>
  <c r="C197" i="3"/>
  <c r="C259" i="3"/>
  <c r="C287" i="3"/>
  <c r="C321" i="3"/>
  <c r="C333" i="3"/>
  <c r="C344" i="3"/>
  <c r="C365" i="3"/>
  <c r="C158" i="3"/>
  <c r="C111" i="3"/>
  <c r="C315" i="3"/>
  <c r="C293" i="3"/>
  <c r="C261" i="3"/>
  <c r="C214" i="3"/>
  <c r="C180" i="3"/>
  <c r="C320" i="3"/>
  <c r="C301" i="3"/>
  <c r="C278" i="3"/>
  <c r="C253" i="3"/>
  <c r="C185" i="3"/>
  <c r="C146" i="3"/>
  <c r="C74" i="3"/>
  <c r="C192" i="3"/>
  <c r="C138" i="3"/>
  <c r="C188" i="3"/>
  <c r="C100" i="3"/>
  <c r="C115" i="3"/>
  <c r="C140" i="3"/>
  <c r="C79" i="3"/>
  <c r="C360" i="3"/>
  <c r="C224" i="3"/>
  <c r="C283" i="3"/>
  <c r="C332" i="3"/>
  <c r="C377" i="3"/>
  <c r="C273" i="3"/>
  <c r="C331" i="3"/>
  <c r="C364" i="3"/>
  <c r="C323" i="3"/>
  <c r="C270" i="3"/>
  <c r="C161" i="3"/>
  <c r="C311" i="3"/>
  <c r="C257" i="3"/>
  <c r="C249" i="3"/>
  <c r="C342" i="3"/>
  <c r="C356" i="3"/>
  <c r="C375" i="3"/>
  <c r="C202" i="3"/>
  <c r="C267" i="3"/>
  <c r="C295" i="3"/>
  <c r="C329" i="3"/>
  <c r="B345" i="3"/>
  <c r="C367" i="3"/>
  <c r="C157" i="3"/>
  <c r="C91" i="3"/>
  <c r="C308" i="3"/>
  <c r="C289" i="3"/>
  <c r="C247" i="3"/>
  <c r="C209" i="3"/>
  <c r="C178" i="3"/>
  <c r="C144" i="3"/>
  <c r="C317" i="3"/>
  <c r="C297" i="3"/>
  <c r="C269" i="3"/>
  <c r="C250" i="3"/>
  <c r="C212" i="3"/>
  <c r="C168" i="3"/>
  <c r="C128" i="3"/>
  <c r="C72" i="3"/>
  <c r="C228" i="3"/>
  <c r="C166" i="3"/>
  <c r="C107" i="3"/>
  <c r="C217" i="3"/>
  <c r="C177" i="3"/>
  <c r="C134" i="3"/>
  <c r="C78" i="3"/>
  <c r="C147" i="3"/>
  <c r="C103" i="3"/>
  <c r="C121" i="3"/>
  <c r="C343" i="3"/>
  <c r="R28" i="3"/>
  <c r="R23" i="3"/>
  <c r="R25" i="3"/>
  <c r="R20" i="3"/>
  <c r="R27" i="3"/>
  <c r="R22" i="3"/>
  <c r="R19" i="3"/>
  <c r="R26" i="3"/>
  <c r="R21" i="3"/>
  <c r="R24" i="3"/>
  <c r="C203" i="3"/>
  <c r="C70" i="3"/>
  <c r="C204" i="3"/>
  <c r="C199" i="3"/>
  <c r="C198" i="3"/>
  <c r="C248" i="3"/>
  <c r="C262" i="3"/>
  <c r="C304" i="3"/>
  <c r="C359" i="3"/>
  <c r="C182" i="3"/>
  <c r="C370" i="3"/>
  <c r="C345" i="3"/>
  <c r="C335" i="3"/>
  <c r="C324" i="3"/>
  <c r="C300" i="3"/>
  <c r="C266" i="3"/>
  <c r="C239" i="3"/>
  <c r="C64" i="3"/>
  <c r="C117" i="3"/>
  <c r="C85" i="3"/>
  <c r="C276" i="3"/>
  <c r="C318" i="3"/>
  <c r="B344" i="3"/>
  <c r="C369" i="3"/>
  <c r="B342" i="3"/>
  <c r="C322" i="3"/>
  <c r="C286" i="3"/>
  <c r="C258" i="3"/>
  <c r="C233" i="3"/>
  <c r="C235" i="3"/>
  <c r="C361" i="3"/>
  <c r="C372" i="3"/>
  <c r="C341" i="3"/>
  <c r="C330" i="3"/>
  <c r="C314" i="3"/>
  <c r="C280" i="3"/>
  <c r="C256" i="3"/>
  <c r="C58" i="3"/>
  <c r="C75" i="3"/>
  <c r="C89" i="3"/>
  <c r="C108" i="3"/>
  <c r="C125" i="3"/>
  <c r="C137" i="3"/>
  <c r="C69" i="3"/>
  <c r="C88" i="3"/>
  <c r="C101" i="3"/>
  <c r="C114" i="3"/>
  <c r="C141" i="3"/>
  <c r="C148" i="3"/>
  <c r="C57" i="3"/>
  <c r="C76" i="3"/>
  <c r="C96" i="3"/>
  <c r="C104" i="3"/>
  <c r="C133" i="3"/>
  <c r="C151" i="3"/>
  <c r="C170" i="3"/>
  <c r="C181" i="3"/>
  <c r="C196" i="3"/>
  <c r="C225" i="3"/>
  <c r="C236" i="3"/>
  <c r="C120" i="3"/>
  <c r="C155" i="3"/>
  <c r="C175" i="3"/>
  <c r="C193" i="3"/>
  <c r="C226" i="3"/>
  <c r="C62" i="3"/>
  <c r="C73" i="3"/>
  <c r="C126" i="3"/>
  <c r="C153" i="3"/>
  <c r="C186" i="3"/>
  <c r="C211" i="3"/>
  <c r="C241" i="3"/>
  <c r="C252" i="3"/>
  <c r="C260" i="3"/>
  <c r="C274" i="3"/>
  <c r="C288" i="3"/>
  <c r="C305" i="3"/>
  <c r="C316" i="3"/>
  <c r="C162" i="3"/>
  <c r="C179" i="3"/>
  <c r="C201" i="3"/>
  <c r="C215" i="3"/>
  <c r="C245" i="3"/>
  <c r="C265" i="3"/>
  <c r="C285" i="3"/>
  <c r="C302" i="3"/>
  <c r="C312" i="3"/>
  <c r="C366" i="3"/>
  <c r="C172" i="3"/>
  <c r="C150" i="3"/>
  <c r="C92" i="3"/>
  <c r="C319" i="3"/>
  <c r="C306" i="3"/>
  <c r="C279" i="3"/>
  <c r="C216" i="3"/>
  <c r="C200" i="3"/>
  <c r="C169" i="3"/>
  <c r="C152" i="3"/>
  <c r="C327" i="3"/>
  <c r="C292" i="3"/>
  <c r="C272" i="3"/>
  <c r="C254" i="3"/>
  <c r="C242" i="3"/>
  <c r="C208" i="3"/>
  <c r="C176" i="3"/>
  <c r="C159" i="3"/>
  <c r="C56" i="3"/>
  <c r="C222" i="3"/>
  <c r="C191" i="3"/>
  <c r="C164" i="3"/>
  <c r="C119" i="3"/>
  <c r="C244" i="3"/>
  <c r="C229" i="3"/>
  <c r="C184" i="3"/>
  <c r="C174" i="3"/>
  <c r="C145" i="3"/>
  <c r="C123" i="3"/>
  <c r="C98" i="3"/>
  <c r="C68" i="3"/>
  <c r="C142" i="3"/>
  <c r="C109" i="3"/>
  <c r="C97" i="3"/>
  <c r="C59" i="3"/>
  <c r="C132" i="3"/>
  <c r="C106" i="3"/>
  <c r="C71" i="3"/>
  <c r="C337" i="3"/>
  <c r="C328" i="3"/>
  <c r="C237" i="3"/>
  <c r="C221" i="3"/>
  <c r="C183" i="3"/>
  <c r="C154" i="3"/>
  <c r="C118" i="3"/>
  <c r="C240" i="3"/>
  <c r="C194" i="3"/>
  <c r="C135" i="3"/>
  <c r="C122" i="3"/>
  <c r="C94" i="3"/>
  <c r="C66" i="3"/>
  <c r="C130" i="3"/>
  <c r="C105" i="3"/>
  <c r="C95" i="3"/>
  <c r="C129" i="3"/>
  <c r="C93" i="3"/>
  <c r="C60" i="3"/>
  <c r="C268" i="3"/>
  <c r="F104" i="3"/>
  <c r="O105" i="3"/>
  <c r="O106" i="3"/>
  <c r="P2" i="3"/>
  <c r="CT176" i="4"/>
  <c r="CT412" i="4"/>
  <c r="CT440" i="4" s="1"/>
  <c r="CP460" i="4"/>
  <c r="CP461" i="4"/>
  <c r="CC460" i="4"/>
  <c r="CC461" i="4"/>
  <c r="CC458" i="4"/>
  <c r="CC459" i="4"/>
  <c r="CC462" i="4"/>
  <c r="CP459" i="4"/>
  <c r="CP458" i="4"/>
  <c r="CS176" i="4"/>
  <c r="CS412" i="4"/>
  <c r="CS440" i="4" s="1"/>
  <c r="CJ460" i="4"/>
  <c r="CJ461" i="4"/>
  <c r="CJ462" i="4"/>
  <c r="CJ458" i="4"/>
  <c r="BT460" i="4"/>
  <c r="CJ459" i="4"/>
  <c r="C205" i="3"/>
  <c r="AW461" i="4"/>
  <c r="AW460" i="4"/>
  <c r="B340" i="3"/>
  <c r="C336" i="3"/>
  <c r="C326" i="3"/>
  <c r="BY462" i="4"/>
  <c r="BM461" i="4"/>
  <c r="BM460" i="4"/>
  <c r="BY459" i="4"/>
  <c r="BA459" i="4"/>
  <c r="AW459" i="4"/>
  <c r="BT459" i="4"/>
  <c r="C362" i="3"/>
  <c r="O462" i="4"/>
  <c r="O459" i="4"/>
  <c r="BM462" i="4"/>
  <c r="BM459" i="4"/>
  <c r="C69" i="2"/>
  <c r="C66" i="2"/>
  <c r="F103" i="3" l="1"/>
  <c r="G6" i="2"/>
  <c r="B33" i="5"/>
  <c r="B36" i="5" s="1"/>
  <c r="B3" i="2"/>
  <c r="B135" i="5" s="1"/>
  <c r="C3" i="2" s="1"/>
  <c r="DV3" i="4"/>
  <c r="F81" i="3" s="1"/>
  <c r="N69" i="2"/>
  <c r="L69" i="2"/>
  <c r="H145" i="2"/>
  <c r="H137" i="2"/>
  <c r="C156" i="4"/>
  <c r="B155" i="4" s="1"/>
  <c r="R40" i="3"/>
  <c r="R42" i="3"/>
  <c r="O100" i="3"/>
  <c r="Q102" i="3"/>
  <c r="F101" i="3"/>
  <c r="H4" i="2"/>
  <c r="AA163" i="4"/>
  <c r="S42" i="3"/>
  <c r="S41" i="3"/>
  <c r="S40" i="3"/>
  <c r="B4" i="4"/>
  <c r="A5" i="4"/>
  <c r="G218" i="3"/>
  <c r="G4" i="2"/>
  <c r="G2" i="2"/>
  <c r="F105" i="3"/>
  <c r="Q96" i="3"/>
  <c r="K252" i="3"/>
  <c r="Q100" i="3"/>
  <c r="I3" i="2"/>
  <c r="G373" i="3"/>
  <c r="G339" i="3"/>
  <c r="G368" i="3"/>
  <c r="G358" i="3"/>
  <c r="G363" i="3"/>
  <c r="G353" i="3"/>
  <c r="F95" i="3"/>
  <c r="F99" i="3"/>
  <c r="O95" i="3"/>
  <c r="G3" i="2"/>
  <c r="Q103" i="3"/>
  <c r="F97" i="3"/>
  <c r="O96" i="3"/>
  <c r="O101" i="3"/>
  <c r="O97" i="3"/>
  <c r="F100" i="3"/>
  <c r="DV11" i="4"/>
  <c r="DV9" i="4"/>
  <c r="DV25" i="4"/>
  <c r="DV43" i="4"/>
  <c r="DV13" i="4"/>
  <c r="DV17" i="4"/>
  <c r="DV47" i="4"/>
  <c r="DV62" i="4"/>
  <c r="DV21" i="4"/>
  <c r="DV36" i="4"/>
  <c r="DV48" i="4"/>
  <c r="DV63" i="4"/>
  <c r="DV4" i="4"/>
  <c r="DV19" i="4"/>
  <c r="DV35" i="4"/>
  <c r="DV53" i="4"/>
  <c r="DV15" i="4"/>
  <c r="DV31" i="4"/>
  <c r="DV55" i="4"/>
  <c r="DV73" i="4"/>
  <c r="DV30" i="4"/>
  <c r="DV40" i="4"/>
  <c r="DV50" i="4"/>
  <c r="DV78" i="4"/>
  <c r="DV27" i="4"/>
  <c r="DV34" i="4"/>
  <c r="DV58" i="4"/>
  <c r="DV89" i="4"/>
  <c r="DV105" i="4"/>
  <c r="DV130" i="4"/>
  <c r="DV51" i="4"/>
  <c r="DV79" i="4"/>
  <c r="DV94" i="4"/>
  <c r="DV106" i="4"/>
  <c r="DV75" i="4"/>
  <c r="DV83" i="4"/>
  <c r="DV99" i="4"/>
  <c r="DV115" i="4"/>
  <c r="DV65" i="4"/>
  <c r="DV81" i="4"/>
  <c r="DV100" i="4"/>
  <c r="DV18" i="4"/>
  <c r="DV46" i="4"/>
  <c r="DV23" i="4"/>
  <c r="DV70" i="4"/>
  <c r="DV39" i="4"/>
  <c r="DV74" i="4"/>
  <c r="DV28" i="4"/>
  <c r="DV44" i="4"/>
  <c r="DV85" i="4"/>
  <c r="DV109" i="4"/>
  <c r="DV138" i="4"/>
  <c r="DV68" i="4"/>
  <c r="DV96" i="4"/>
  <c r="DV114" i="4"/>
  <c r="DV80" i="4"/>
  <c r="DV103" i="4"/>
  <c r="DV128" i="4"/>
  <c r="DV72" i="4"/>
  <c r="DV104" i="4"/>
  <c r="DV120" i="4"/>
  <c r="DV129" i="4"/>
  <c r="DV141" i="4"/>
  <c r="DV159" i="4"/>
  <c r="DV169" i="4"/>
  <c r="DV185" i="4"/>
  <c r="DV201" i="4"/>
  <c r="DV137" i="4"/>
  <c r="DV172" i="4"/>
  <c r="DV188" i="4"/>
  <c r="DV127" i="4"/>
  <c r="DV152" i="4"/>
  <c r="DV174" i="4"/>
  <c r="DV190" i="4"/>
  <c r="DV203" i="4"/>
  <c r="DV118" i="4"/>
  <c r="DV175" i="4"/>
  <c r="DV121" i="4"/>
  <c r="DV164" i="4"/>
  <c r="DV171" i="4"/>
  <c r="DV10" i="4"/>
  <c r="DV37" i="4"/>
  <c r="DV42" i="4"/>
  <c r="DV29" i="4"/>
  <c r="DV95" i="4"/>
  <c r="DV142" i="4"/>
  <c r="DV98" i="4"/>
  <c r="DV57" i="4"/>
  <c r="DV122" i="4"/>
  <c r="DV148" i="4"/>
  <c r="DV24" i="4"/>
  <c r="DV60" i="4"/>
  <c r="DV7" i="4"/>
  <c r="DV5" i="4"/>
  <c r="DV45" i="4"/>
  <c r="DV113" i="4"/>
  <c r="DV82" i="4"/>
  <c r="DV52" i="4"/>
  <c r="DV87" i="4"/>
  <c r="DV107" i="4"/>
  <c r="DV84" i="4"/>
  <c r="DV108" i="4"/>
  <c r="DV125" i="4"/>
  <c r="DV161" i="4"/>
  <c r="DV12" i="4"/>
  <c r="DV26" i="4"/>
  <c r="DV14" i="4"/>
  <c r="DV54" i="4"/>
  <c r="DV22" i="4"/>
  <c r="DV49" i="4"/>
  <c r="DV6" i="4"/>
  <c r="DV32" i="4"/>
  <c r="DV64" i="4"/>
  <c r="DV97" i="4"/>
  <c r="DV117" i="4"/>
  <c r="DV59" i="4"/>
  <c r="DV86" i="4"/>
  <c r="DV102" i="4"/>
  <c r="DV76" i="4"/>
  <c r="DV91" i="4"/>
  <c r="DV111" i="4"/>
  <c r="DV67" i="4"/>
  <c r="DV88" i="4"/>
  <c r="DV112" i="4"/>
  <c r="DV124" i="4"/>
  <c r="DV139" i="4"/>
  <c r="DV154" i="4"/>
  <c r="DV163" i="4"/>
  <c r="DV41" i="4"/>
  <c r="DV56" i="4"/>
  <c r="DV101" i="4"/>
  <c r="DV110" i="4"/>
  <c r="DV69" i="4"/>
  <c r="DV140" i="4"/>
  <c r="DV177" i="4"/>
  <c r="DV197" i="4"/>
  <c r="DV149" i="4"/>
  <c r="DV180" i="4"/>
  <c r="DV200" i="4"/>
  <c r="DV155" i="4"/>
  <c r="DV182" i="4"/>
  <c r="DV202" i="4"/>
  <c r="DV131" i="4"/>
  <c r="DV187" i="4"/>
  <c r="DV158" i="4"/>
  <c r="DV183" i="4"/>
  <c r="DV33" i="4"/>
  <c r="DV90" i="4"/>
  <c r="DV173" i="4"/>
  <c r="DV176" i="4"/>
  <c r="DV178" i="4"/>
  <c r="DV179" i="4"/>
  <c r="DV16" i="4"/>
  <c r="DV20" i="4"/>
  <c r="DV134" i="4"/>
  <c r="DV77" i="4"/>
  <c r="DV92" i="4"/>
  <c r="DV157" i="4"/>
  <c r="DV181" i="4"/>
  <c r="DV123" i="4"/>
  <c r="DV153" i="4"/>
  <c r="DV184" i="4"/>
  <c r="DV143" i="4"/>
  <c r="DV166" i="4"/>
  <c r="DV186" i="4"/>
  <c r="DV145" i="4"/>
  <c r="DV146" i="4"/>
  <c r="DV195" i="4"/>
  <c r="DV133" i="4"/>
  <c r="DV191" i="4"/>
  <c r="DV8" i="4"/>
  <c r="DV71" i="4"/>
  <c r="DV126" i="4"/>
  <c r="DV136" i="4"/>
  <c r="DV151" i="4"/>
  <c r="DV162" i="4"/>
  <c r="DV160" i="4"/>
  <c r="DV61" i="4"/>
  <c r="DV38" i="4"/>
  <c r="DV66" i="4"/>
  <c r="DV93" i="4"/>
  <c r="DV116" i="4"/>
  <c r="DV165" i="4"/>
  <c r="DV189" i="4"/>
  <c r="DV135" i="4"/>
  <c r="DV168" i="4"/>
  <c r="DV192" i="4"/>
  <c r="DV147" i="4"/>
  <c r="DV170" i="4"/>
  <c r="DV194" i="4"/>
  <c r="DV156" i="4"/>
  <c r="DV167" i="4"/>
  <c r="DV132" i="4"/>
  <c r="DV144" i="4"/>
  <c r="DV199" i="4"/>
  <c r="DV119" i="4"/>
  <c r="DV193" i="4"/>
  <c r="DV196" i="4"/>
  <c r="DV198" i="4"/>
  <c r="DV150" i="4"/>
  <c r="Q98" i="3"/>
  <c r="O102" i="3"/>
  <c r="Q101" i="3"/>
  <c r="O98" i="3"/>
  <c r="O99" i="3"/>
  <c r="F106" i="3"/>
  <c r="I2" i="2"/>
  <c r="O104" i="3"/>
  <c r="I4" i="2"/>
  <c r="O103" i="3"/>
  <c r="F102" i="3"/>
  <c r="H126" i="2" l="1"/>
  <c r="I126" i="2" s="1"/>
  <c r="B141" i="5"/>
  <c r="R45" i="3"/>
  <c r="R46" i="3"/>
  <c r="R47" i="3"/>
  <c r="L30" i="2"/>
  <c r="B37" i="5"/>
  <c r="B38" i="5" s="1"/>
  <c r="A135" i="5" s="1"/>
  <c r="C4" i="2" s="1"/>
  <c r="AA176" i="4"/>
  <c r="S47" i="3"/>
  <c r="S46" i="3"/>
  <c r="S45" i="3"/>
  <c r="B5" i="4"/>
  <c r="A6" i="4"/>
  <c r="B4" i="2"/>
  <c r="W49" i="17" l="1"/>
  <c r="W38" i="17"/>
  <c r="W34" i="17"/>
  <c r="W75" i="17"/>
  <c r="L26" i="2"/>
  <c r="L27" i="2" s="1"/>
  <c r="L28" i="2" s="1"/>
  <c r="W84" i="17"/>
  <c r="W36" i="17"/>
  <c r="W83" i="17"/>
  <c r="W59" i="17"/>
  <c r="W21" i="17"/>
  <c r="F212" i="4"/>
  <c r="F206" i="4"/>
  <c r="F203" i="4"/>
  <c r="F216" i="4"/>
  <c r="F214" i="4"/>
  <c r="F204" i="4"/>
  <c r="F220" i="4"/>
  <c r="F218" i="4"/>
  <c r="F222" i="4"/>
  <c r="F213" i="4"/>
  <c r="F209" i="4"/>
  <c r="F208" i="4"/>
  <c r="F224" i="4"/>
  <c r="F217" i="4"/>
  <c r="F221" i="4"/>
  <c r="F207" i="4"/>
  <c r="F219" i="4"/>
  <c r="F211" i="4"/>
  <c r="F223" i="4"/>
  <c r="F215" i="4"/>
  <c r="F205" i="4"/>
  <c r="F210" i="4"/>
  <c r="DW86" i="4"/>
  <c r="DW59" i="4"/>
  <c r="DW161" i="4"/>
  <c r="DW203" i="4"/>
  <c r="DW99" i="4"/>
  <c r="DW167" i="4"/>
  <c r="DW155" i="4"/>
  <c r="DW191" i="4"/>
  <c r="DW185" i="4"/>
  <c r="DW80" i="4"/>
  <c r="DW3" i="4"/>
  <c r="F219" i="3" s="1"/>
  <c r="DW116" i="4"/>
  <c r="DW189" i="4"/>
  <c r="DW60" i="4"/>
  <c r="DW190" i="4"/>
  <c r="DW45" i="4"/>
  <c r="DW101" i="4"/>
  <c r="DW61" i="4"/>
  <c r="DW12" i="4"/>
  <c r="DW151" i="4"/>
  <c r="DW113" i="4"/>
  <c r="DW65" i="4"/>
  <c r="DW154" i="4"/>
  <c r="DW43" i="4"/>
  <c r="DW152" i="4"/>
  <c r="DW170" i="4"/>
  <c r="DW125" i="4"/>
  <c r="DW199" i="4"/>
  <c r="DW143" i="4"/>
  <c r="DW64" i="4"/>
  <c r="DW53" i="4"/>
  <c r="DW62" i="4"/>
  <c r="DW163" i="4"/>
  <c r="DW58" i="4"/>
  <c r="DW147" i="4"/>
  <c r="DW25" i="4"/>
  <c r="DW94" i="4"/>
  <c r="DW193" i="4"/>
  <c r="DW153" i="4"/>
  <c r="DW5" i="4"/>
  <c r="DW49" i="4"/>
  <c r="DW16" i="4"/>
  <c r="DW134" i="4"/>
  <c r="DW20" i="4"/>
  <c r="DW67" i="4"/>
  <c r="DW95" i="4"/>
  <c r="DW28" i="4"/>
  <c r="DW91" i="4"/>
  <c r="DW44" i="4"/>
  <c r="DW188" i="4"/>
  <c r="DW159" i="4"/>
  <c r="DW37" i="4"/>
  <c r="DW177" i="4"/>
  <c r="DW96" i="4"/>
  <c r="DW100" i="4"/>
  <c r="DW73" i="4"/>
  <c r="DW98" i="4"/>
  <c r="DW201" i="4"/>
  <c r="DW41" i="4"/>
  <c r="DW126" i="4"/>
  <c r="DW165" i="4"/>
  <c r="DW18" i="4"/>
  <c r="DW197" i="4"/>
  <c r="DW181" i="4"/>
  <c r="DW27" i="4"/>
  <c r="DW174" i="4"/>
  <c r="DW145" i="4"/>
  <c r="DW69" i="4"/>
  <c r="DW196" i="4"/>
  <c r="DW183" i="4"/>
  <c r="DW202" i="4"/>
  <c r="DW32" i="4"/>
  <c r="DW29" i="4"/>
  <c r="DW164" i="4"/>
  <c r="DW136" i="4"/>
  <c r="DW111" i="4"/>
  <c r="DW168" i="4"/>
  <c r="DW107" i="4"/>
  <c r="DW87" i="4"/>
  <c r="DW122" i="4"/>
  <c r="DW109" i="4"/>
  <c r="DW82" i="4"/>
  <c r="DW34" i="4"/>
  <c r="DW157" i="4"/>
  <c r="DW55" i="4"/>
  <c r="DW135" i="4"/>
  <c r="DW129" i="4"/>
  <c r="DW68" i="4"/>
  <c r="DW137" i="4"/>
  <c r="DW38" i="4"/>
  <c r="DW128" i="4"/>
  <c r="DW115" i="4"/>
  <c r="DW169" i="4"/>
  <c r="DW83" i="4"/>
  <c r="DW117" i="4"/>
  <c r="DW46" i="4"/>
  <c r="DW173" i="4"/>
  <c r="DW104" i="4"/>
  <c r="DW21" i="4"/>
  <c r="DW84" i="4"/>
  <c r="DW22" i="4"/>
  <c r="DW195" i="4"/>
  <c r="DW66" i="4"/>
  <c r="DW200" i="4"/>
  <c r="DW72" i="4"/>
  <c r="DW26" i="4"/>
  <c r="DW124" i="4"/>
  <c r="DW35" i="4"/>
  <c r="DW14" i="4"/>
  <c r="DW127" i="4"/>
  <c r="DW74" i="4"/>
  <c r="DW102" i="4"/>
  <c r="DW39" i="4"/>
  <c r="DW131" i="4"/>
  <c r="DW123" i="4"/>
  <c r="DW119" i="4"/>
  <c r="DW138" i="4"/>
  <c r="DW184" i="4"/>
  <c r="DW182" i="4"/>
  <c r="DW132" i="4"/>
  <c r="DW162" i="4"/>
  <c r="DW7" i="4"/>
  <c r="DW24" i="4"/>
  <c r="DW92" i="4"/>
  <c r="DW63" i="4"/>
  <c r="DW160" i="4"/>
  <c r="DW118" i="4"/>
  <c r="DW31" i="4"/>
  <c r="DW192" i="4"/>
  <c r="DW78" i="4"/>
  <c r="DW81" i="4"/>
  <c r="DW180" i="4"/>
  <c r="DW93" i="4"/>
  <c r="DW70" i="4"/>
  <c r="DW48" i="4"/>
  <c r="DW36" i="4"/>
  <c r="DW141" i="4"/>
  <c r="DW90" i="4"/>
  <c r="DW13" i="4"/>
  <c r="DW4" i="4"/>
  <c r="DW130" i="4"/>
  <c r="DW51" i="4"/>
  <c r="DW149" i="4"/>
  <c r="DW77" i="4"/>
  <c r="DW88" i="4"/>
  <c r="DW79" i="4"/>
  <c r="DW33" i="4"/>
  <c r="DW57" i="4"/>
  <c r="DW176" i="4"/>
  <c r="DW75" i="4"/>
  <c r="DW166" i="4"/>
  <c r="DW175" i="4"/>
  <c r="DW133" i="4"/>
  <c r="DW110" i="4"/>
  <c r="DW11" i="4"/>
  <c r="DW179" i="4"/>
  <c r="DW40" i="4"/>
  <c r="DW198" i="4"/>
  <c r="DW114" i="4"/>
  <c r="DW142" i="4"/>
  <c r="DW17" i="4"/>
  <c r="DW112" i="4"/>
  <c r="DW15" i="4"/>
  <c r="DW9" i="4"/>
  <c r="DW108" i="4"/>
  <c r="DW139" i="4"/>
  <c r="DW146" i="4"/>
  <c r="DW50" i="4"/>
  <c r="DW89" i="4"/>
  <c r="DW121" i="4"/>
  <c r="DW105" i="4"/>
  <c r="DW19" i="4"/>
  <c r="DW172" i="4"/>
  <c r="DW178" i="4"/>
  <c r="DW194" i="4"/>
  <c r="DW30" i="4"/>
  <c r="DW120" i="4"/>
  <c r="DW148" i="4"/>
  <c r="DW71" i="4"/>
  <c r="DW6" i="4"/>
  <c r="DW8" i="4"/>
  <c r="DW186" i="4"/>
  <c r="DW85" i="4"/>
  <c r="DW56" i="4"/>
  <c r="DW150" i="4"/>
  <c r="DW52" i="4"/>
  <c r="DW10" i="4"/>
  <c r="DW140" i="4"/>
  <c r="DW187" i="4"/>
  <c r="DW156" i="4"/>
  <c r="DW158" i="4"/>
  <c r="DW171" i="4"/>
  <c r="DW76" i="4"/>
  <c r="DW103" i="4"/>
  <c r="DW144" i="4"/>
  <c r="DW42" i="4"/>
  <c r="DW23" i="4"/>
  <c r="DW54" i="4"/>
  <c r="DW97" i="4"/>
  <c r="DW106" i="4"/>
  <c r="DW47" i="4"/>
  <c r="A7" i="4"/>
  <c r="B6" i="4"/>
  <c r="E3" i="2"/>
  <c r="E4" i="2" s="1"/>
  <c r="B7" i="4" l="1"/>
  <c r="A8" i="4"/>
  <c r="A9" i="4" l="1"/>
  <c r="B8" i="4"/>
  <c r="A10" i="4" l="1"/>
  <c r="B9" i="4"/>
  <c r="A11" i="4" l="1"/>
  <c r="B10" i="4"/>
  <c r="A12" i="4" l="1"/>
  <c r="B11" i="4"/>
  <c r="B12" i="4" l="1"/>
  <c r="A13" i="4"/>
  <c r="B13" i="4" l="1"/>
  <c r="A14" i="4"/>
  <c r="B14" i="4" l="1"/>
  <c r="A15" i="4"/>
  <c r="A16" i="4" l="1"/>
  <c r="B15" i="4"/>
  <c r="B16" i="4" l="1"/>
  <c r="A17" i="4"/>
  <c r="B17" i="4" l="1"/>
  <c r="A18" i="4"/>
  <c r="A19" i="4" l="1"/>
  <c r="B18" i="4"/>
  <c r="B19" i="4" l="1"/>
  <c r="A20" i="4"/>
  <c r="A21" i="4" l="1"/>
  <c r="B20" i="4"/>
  <c r="A22" i="4" l="1"/>
  <c r="B21" i="4"/>
  <c r="A23" i="4" l="1"/>
  <c r="B22" i="4"/>
  <c r="B23" i="4" l="1"/>
  <c r="A24" i="4"/>
  <c r="B24" i="4" l="1"/>
  <c r="A25" i="4"/>
  <c r="A26" i="4" l="1"/>
  <c r="B25" i="4"/>
  <c r="A27" i="4" l="1"/>
  <c r="B26" i="4"/>
  <c r="A28" i="4" l="1"/>
  <c r="B27" i="4"/>
  <c r="B28" i="4" l="1"/>
  <c r="A29" i="4"/>
  <c r="B29" i="4" l="1"/>
  <c r="A30" i="4"/>
  <c r="B30" i="4" l="1"/>
  <c r="A31" i="4"/>
  <c r="A32" i="4" l="1"/>
  <c r="A33" i="4" s="1"/>
  <c r="A34" i="4" s="1"/>
  <c r="A35" i="4" s="1"/>
  <c r="A36" i="4" s="1"/>
  <c r="A37" i="4" s="1"/>
  <c r="A38" i="4" s="1"/>
  <c r="A39" i="4" s="1"/>
  <c r="A40" i="4" s="1"/>
  <c r="A41" i="4" s="1"/>
  <c r="A42" i="4" s="1"/>
  <c r="A43" i="4" s="1"/>
  <c r="A44" i="4" s="1"/>
  <c r="A45" i="4" s="1"/>
  <c r="A46" i="4" s="1"/>
  <c r="A47" i="4" s="1"/>
  <c r="A48" i="4" s="1"/>
  <c r="A49" i="4" s="1"/>
  <c r="A50" i="4" s="1"/>
  <c r="A51" i="4" s="1"/>
  <c r="A52" i="4" s="1"/>
  <c r="A53" i="4" s="1"/>
  <c r="A54" i="4" s="1"/>
  <c r="A55" i="4" s="1"/>
  <c r="A56" i="4" s="1"/>
  <c r="A57" i="4" s="1"/>
  <c r="A58" i="4" s="1"/>
  <c r="A59" i="4" s="1"/>
  <c r="A60" i="4" s="1"/>
  <c r="A61" i="4" s="1"/>
  <c r="A62" i="4" s="1"/>
  <c r="A63" i="4" s="1"/>
  <c r="A64" i="4" s="1"/>
  <c r="A65" i="4" s="1"/>
  <c r="A66" i="4" s="1"/>
  <c r="A67" i="4" s="1"/>
  <c r="A68" i="4" s="1"/>
  <c r="A69" i="4" s="1"/>
  <c r="A70" i="4" s="1"/>
  <c r="A71" i="4" s="1"/>
  <c r="B31" i="4"/>
  <c r="A72" i="4" l="1"/>
  <c r="B71" i="4"/>
  <c r="A73" i="4" l="1"/>
  <c r="B72" i="4"/>
  <c r="B73" i="4" l="1"/>
  <c r="A74" i="4"/>
  <c r="A75" i="4" l="1"/>
  <c r="B74" i="4"/>
  <c r="B75" i="4" l="1"/>
  <c r="A76" i="4"/>
  <c r="B76" i="4" l="1"/>
  <c r="A77" i="4"/>
  <c r="B77" i="4" l="1"/>
  <c r="A78" i="4"/>
  <c r="B78" i="4" l="1"/>
  <c r="A79" i="4"/>
  <c r="B79" i="4" l="1"/>
  <c r="A80" i="4"/>
  <c r="A81" i="4" l="1"/>
  <c r="B80" i="4"/>
  <c r="A82" i="4" l="1"/>
  <c r="B81" i="4"/>
  <c r="B82" i="4" l="1"/>
  <c r="A83" i="4"/>
  <c r="B83" i="4" l="1"/>
  <c r="A84" i="4"/>
  <c r="B84" i="4" l="1"/>
  <c r="A85" i="4"/>
  <c r="B85" i="4" l="1"/>
  <c r="A86" i="4"/>
  <c r="A87" i="4" l="1"/>
  <c r="B86" i="4"/>
  <c r="B87" i="4" l="1"/>
  <c r="A88" i="4"/>
  <c r="B88" i="4" l="1"/>
  <c r="A89" i="4"/>
  <c r="B89" i="4" l="1"/>
  <c r="A90" i="4"/>
  <c r="A91" i="4" l="1"/>
  <c r="B90" i="4"/>
  <c r="A92" i="4" l="1"/>
  <c r="B91" i="4"/>
  <c r="C92" i="4" l="1"/>
  <c r="B92" i="4"/>
  <c r="A93" i="4"/>
  <c r="B93" i="4" l="1"/>
  <c r="C93" i="4"/>
  <c r="A94" i="4"/>
  <c r="B94" i="4" l="1"/>
  <c r="A95" i="4"/>
  <c r="C94" i="4"/>
  <c r="B95" i="4" l="1"/>
  <c r="A96" i="4"/>
  <c r="C95" i="4"/>
  <c r="B96" i="4" l="1"/>
  <c r="A97" i="4"/>
  <c r="C96" i="4"/>
  <c r="A98" i="4" l="1"/>
  <c r="B97" i="4"/>
  <c r="C97" i="4"/>
  <c r="B98" i="4" l="1"/>
  <c r="C98" i="4"/>
  <c r="A99" i="4"/>
  <c r="A100" i="4" l="1"/>
  <c r="B99" i="4"/>
  <c r="C99" i="4"/>
  <c r="B100" i="4" l="1"/>
  <c r="C100" i="4"/>
  <c r="A101" i="4"/>
  <c r="B101" i="4" l="1"/>
  <c r="A102" i="4"/>
  <c r="C101" i="4"/>
  <c r="C102" i="4" l="1"/>
  <c r="A103" i="4"/>
  <c r="B102" i="4"/>
  <c r="B103" i="4" l="1"/>
  <c r="A104" i="4"/>
  <c r="C103" i="4"/>
  <c r="C104" i="4" l="1"/>
  <c r="A105" i="4"/>
  <c r="B104" i="4"/>
  <c r="C105" i="4" l="1"/>
  <c r="A106" i="4"/>
  <c r="B105" i="4"/>
  <c r="B106" i="4" l="1"/>
  <c r="C106" i="4"/>
  <c r="A107" i="4"/>
  <c r="B107" i="4" l="1"/>
  <c r="A108" i="4"/>
  <c r="C107" i="4"/>
  <c r="C108" i="4" l="1"/>
  <c r="A109" i="4"/>
  <c r="B108" i="4"/>
  <c r="A110" i="4" l="1"/>
  <c r="C109" i="4"/>
  <c r="B109" i="4"/>
  <c r="B110" i="4" l="1"/>
  <c r="C110" i="4"/>
  <c r="A111" i="4"/>
  <c r="A112" i="4" l="1"/>
  <c r="B111" i="4"/>
  <c r="C111" i="4"/>
  <c r="A113" i="4" l="1"/>
  <c r="C112" i="4"/>
  <c r="B112" i="4"/>
  <c r="B113" i="4" l="1"/>
  <c r="C113" i="4"/>
  <c r="A114" i="4"/>
  <c r="B114" i="4" l="1"/>
  <c r="A115" i="4"/>
  <c r="C114" i="4"/>
  <c r="A116" i="4" l="1"/>
  <c r="B115" i="4"/>
  <c r="C115" i="4"/>
  <c r="A117" i="4" l="1"/>
  <c r="C116" i="4"/>
  <c r="B116" i="4"/>
  <c r="A118" i="4" l="1"/>
  <c r="C117" i="4"/>
  <c r="B117" i="4"/>
  <c r="C118" i="4" l="1"/>
  <c r="B118" i="4"/>
  <c r="A119" i="4"/>
  <c r="C119" i="4" l="1"/>
  <c r="B119" i="4"/>
  <c r="A120" i="4"/>
  <c r="C120" i="4" l="1"/>
  <c r="A121" i="4"/>
  <c r="B120" i="4"/>
  <c r="B121" i="4" l="1"/>
  <c r="A122" i="4"/>
  <c r="C121" i="4"/>
  <c r="A123" i="4" l="1"/>
  <c r="B122" i="4"/>
  <c r="C122" i="4"/>
  <c r="B123" i="4" l="1"/>
  <c r="A124" i="4"/>
  <c r="C123" i="4"/>
  <c r="C124" i="4" l="1"/>
  <c r="B124" i="4"/>
  <c r="A125" i="4"/>
  <c r="C125" i="4" l="1"/>
  <c r="B125" i="4"/>
  <c r="A126" i="4"/>
  <c r="A127" i="4" l="1"/>
  <c r="B126" i="4"/>
  <c r="C126" i="4"/>
  <c r="B127" i="4" l="1"/>
  <c r="C127" i="4"/>
  <c r="A128" i="4"/>
  <c r="B128" i="4" l="1"/>
  <c r="A129" i="4"/>
  <c r="C128" i="4"/>
  <c r="B129" i="4" l="1"/>
  <c r="C129" i="4"/>
  <c r="A130" i="4"/>
  <c r="A131" i="4" l="1"/>
  <c r="B130" i="4"/>
  <c r="C130" i="4"/>
  <c r="A132" i="4" l="1"/>
  <c r="C131" i="4"/>
  <c r="B131" i="4"/>
  <c r="C132" i="4" l="1"/>
  <c r="B132" i="4"/>
  <c r="A133" i="4"/>
  <c r="C133" i="4" l="1"/>
  <c r="B133" i="4"/>
  <c r="A134" i="4"/>
  <c r="B134" i="4" l="1"/>
  <c r="A135" i="4"/>
  <c r="C134" i="4"/>
  <c r="C135" i="4" l="1"/>
  <c r="B135" i="4"/>
  <c r="A136" i="4"/>
  <c r="C136" i="4" l="1"/>
  <c r="A137" i="4"/>
  <c r="B136" i="4"/>
  <c r="C137" i="4" l="1"/>
  <c r="B137" i="4"/>
  <c r="A138" i="4"/>
  <c r="C138" i="4" l="1"/>
  <c r="B138" i="4"/>
  <c r="A139" i="4"/>
  <c r="C139" i="4" l="1"/>
  <c r="B139" i="4"/>
  <c r="A140" i="4"/>
  <c r="C140" i="4" l="1"/>
  <c r="B140" i="4"/>
  <c r="A141" i="4"/>
  <c r="C141" i="4" l="1"/>
  <c r="A142" i="4"/>
  <c r="B141" i="4"/>
  <c r="C142" i="4" l="1"/>
  <c r="B142" i="4"/>
  <c r="A143" i="4"/>
  <c r="A144" i="4" l="1"/>
  <c r="C143" i="4"/>
  <c r="B143" i="4"/>
  <c r="C144" i="4" l="1"/>
  <c r="A145" i="4"/>
  <c r="B144" i="4"/>
  <c r="C145" i="4" l="1"/>
  <c r="B145" i="4"/>
  <c r="A146" i="4"/>
  <c r="C146" i="4" l="1"/>
  <c r="A147" i="4"/>
  <c r="B146" i="4"/>
  <c r="A148" i="4" l="1"/>
  <c r="C147" i="4"/>
  <c r="B147" i="4"/>
  <c r="B148" i="4" l="1"/>
  <c r="A149" i="4"/>
  <c r="C148" i="4"/>
  <c r="F19" i="2"/>
  <c r="I19" i="2" s="1"/>
  <c r="J20" i="2"/>
  <c r="F22" i="2"/>
  <c r="I22" i="2" s="1"/>
  <c r="J13" i="2"/>
  <c r="J18" i="2"/>
  <c r="J16" i="2"/>
  <c r="F18" i="2"/>
  <c r="F21" i="2"/>
  <c r="I21" i="2" s="1"/>
  <c r="J19" i="2"/>
  <c r="F16" i="2"/>
  <c r="I16" i="2" s="1"/>
  <c r="F20" i="2"/>
  <c r="I20" i="2" s="1"/>
  <c r="H87" i="3" s="1"/>
  <c r="F13" i="2"/>
  <c r="I13" i="2" s="1"/>
  <c r="A35" i="2" s="1"/>
  <c r="J22" i="2"/>
  <c r="F14" i="2"/>
  <c r="I14" i="2" s="1"/>
  <c r="F15" i="2"/>
  <c r="I15" i="2" s="1"/>
  <c r="E30" i="2" s="1"/>
  <c r="J14" i="2"/>
  <c r="J21" i="2"/>
  <c r="J15" i="2"/>
  <c r="F17" i="2"/>
  <c r="I17" i="2" s="1"/>
  <c r="J17" i="2"/>
  <c r="I18" i="2" l="1"/>
  <c r="H4" i="3" s="1"/>
  <c r="H39" i="2"/>
  <c r="H162" i="3"/>
  <c r="H156" i="3"/>
  <c r="H149" i="3"/>
  <c r="B149" i="4"/>
  <c r="A150" i="4"/>
  <c r="C149" i="4"/>
  <c r="E27" i="2"/>
  <c r="E26" i="2"/>
  <c r="I26" i="2" s="1"/>
  <c r="E25" i="2"/>
  <c r="I25" i="2" s="1"/>
  <c r="E29" i="2"/>
  <c r="I29" i="2" s="1"/>
  <c r="E28" i="2"/>
  <c r="I28" i="2" s="1"/>
  <c r="H204" i="3"/>
  <c r="H203" i="3"/>
  <c r="H70" i="3"/>
  <c r="H199" i="3"/>
  <c r="H198" i="3"/>
  <c r="H217" i="3"/>
  <c r="H75" i="3"/>
  <c r="H260" i="3"/>
  <c r="H71" i="3"/>
  <c r="H191" i="3"/>
  <c r="H275" i="3"/>
  <c r="H73" i="3"/>
  <c r="H89" i="3"/>
  <c r="H271" i="3"/>
  <c r="H86" i="3"/>
  <c r="H208" i="3"/>
  <c r="H273" i="3"/>
  <c r="H215" i="3"/>
  <c r="H142" i="3"/>
  <c r="H72" i="3"/>
  <c r="F123" i="4"/>
  <c r="H229" i="3"/>
  <c r="H22" i="3"/>
  <c r="H231" i="3"/>
  <c r="H10" i="3"/>
  <c r="K10" i="3" s="1"/>
  <c r="H74" i="3"/>
  <c r="H213" i="3"/>
  <c r="H78" i="3"/>
  <c r="H269" i="3"/>
  <c r="H214" i="3"/>
  <c r="H137" i="3"/>
  <c r="K137" i="3" s="1"/>
  <c r="H227" i="3"/>
  <c r="H216" i="3"/>
  <c r="H152" i="3"/>
  <c r="H169" i="3"/>
  <c r="H171" i="3"/>
  <c r="H174" i="3"/>
  <c r="H109" i="3"/>
  <c r="H153" i="3"/>
  <c r="H14" i="3"/>
  <c r="H63" i="3"/>
  <c r="H165" i="3"/>
  <c r="H166" i="3"/>
  <c r="H196" i="3"/>
  <c r="H160" i="3"/>
  <c r="H172" i="3"/>
  <c r="H167" i="3"/>
  <c r="H164" i="3"/>
  <c r="H201" i="3"/>
  <c r="H148" i="3"/>
  <c r="H243" i="3"/>
  <c r="H155" i="3"/>
  <c r="H173" i="3"/>
  <c r="H157" i="3"/>
  <c r="H19" i="3"/>
  <c r="H18" i="3"/>
  <c r="H209" i="3"/>
  <c r="H17" i="3"/>
  <c r="H170" i="3"/>
  <c r="H159" i="3"/>
  <c r="H161" i="3"/>
  <c r="H102" i="3"/>
  <c r="H84" i="3"/>
  <c r="H104" i="3"/>
  <c r="H200" i="3"/>
  <c r="H311" i="3"/>
  <c r="H105" i="3"/>
  <c r="H150" i="3"/>
  <c r="H96" i="3"/>
  <c r="H225" i="3"/>
  <c r="H241" i="3"/>
  <c r="H57" i="3"/>
  <c r="H274" i="3"/>
  <c r="H97" i="3"/>
  <c r="H258" i="3"/>
  <c r="H115" i="3"/>
  <c r="H304" i="3"/>
  <c r="H21" i="3"/>
  <c r="K21" i="3" s="1"/>
  <c r="H79" i="3"/>
  <c r="H284" i="3"/>
  <c r="H106" i="3"/>
  <c r="H151" i="3"/>
  <c r="H95" i="3"/>
  <c r="H98" i="3"/>
  <c r="H291" i="3"/>
  <c r="H292" i="3"/>
  <c r="H99" i="3"/>
  <c r="F121" i="4"/>
  <c r="H60" i="3"/>
  <c r="H293" i="3"/>
  <c r="H197" i="3"/>
  <c r="H190" i="3"/>
  <c r="H303" i="3"/>
  <c r="H100" i="3"/>
  <c r="H103" i="3"/>
  <c r="H101" i="3"/>
  <c r="H194" i="3"/>
  <c r="H262" i="3"/>
  <c r="H143" i="3"/>
  <c r="H282" i="3"/>
  <c r="K282" i="3" s="1"/>
  <c r="H223" i="3"/>
  <c r="K223" i="3" s="1"/>
  <c r="H298" i="3"/>
  <c r="H224" i="3"/>
  <c r="H305" i="3"/>
  <c r="H299" i="3"/>
  <c r="H308" i="3"/>
  <c r="H221" i="3"/>
  <c r="H264" i="3"/>
  <c r="H261" i="3"/>
  <c r="H300" i="3"/>
  <c r="H301" i="3"/>
  <c r="H306" i="3"/>
  <c r="H272" i="3"/>
  <c r="K272" i="3" s="1"/>
  <c r="H310" i="3"/>
  <c r="H24" i="3"/>
  <c r="H220" i="3"/>
  <c r="K220" i="3" s="1"/>
  <c r="H297" i="3"/>
  <c r="H295" i="3"/>
  <c r="H329" i="3"/>
  <c r="H302" i="3"/>
  <c r="H94" i="3"/>
  <c r="K94" i="3" s="1"/>
  <c r="H263" i="3"/>
  <c r="H147" i="3"/>
  <c r="K147" i="3" s="1"/>
  <c r="H158" i="3"/>
  <c r="K158" i="3" s="1"/>
  <c r="H168" i="3"/>
  <c r="K168" i="3" s="1"/>
  <c r="H163" i="3"/>
  <c r="K163" i="3" s="1"/>
  <c r="J23" i="2"/>
  <c r="J24" i="2" s="1"/>
  <c r="H307" i="3"/>
  <c r="K307" i="3" s="1"/>
  <c r="H256" i="3"/>
  <c r="H144" i="3"/>
  <c r="H118" i="3"/>
  <c r="H277" i="3"/>
  <c r="H289" i="3"/>
  <c r="F122" i="4"/>
  <c r="H76" i="3"/>
  <c r="H120" i="3"/>
  <c r="H283" i="3"/>
  <c r="H294" i="3"/>
  <c r="K294" i="3" s="1"/>
  <c r="H125" i="3"/>
  <c r="H140" i="3"/>
  <c r="H139" i="3"/>
  <c r="H56" i="3"/>
  <c r="H77" i="3"/>
  <c r="H145" i="3"/>
  <c r="H202" i="3"/>
  <c r="H154" i="3"/>
  <c r="H61" i="3"/>
  <c r="H111" i="3"/>
  <c r="H46" i="3"/>
  <c r="H193" i="3"/>
  <c r="H126" i="3"/>
  <c r="H207" i="3"/>
  <c r="K207" i="3" s="1"/>
  <c r="H124" i="3"/>
  <c r="H129" i="3"/>
  <c r="H59" i="3"/>
  <c r="H210" i="3"/>
  <c r="K210" i="3" s="1"/>
  <c r="H257" i="3"/>
  <c r="K257" i="3" s="1"/>
  <c r="H69" i="3"/>
  <c r="H226" i="3"/>
  <c r="H114" i="3"/>
  <c r="H119" i="3"/>
  <c r="H228" i="3"/>
  <c r="H287" i="3"/>
  <c r="H127" i="3"/>
  <c r="H205" i="3"/>
  <c r="H45" i="3"/>
  <c r="H255" i="3"/>
  <c r="H138" i="3"/>
  <c r="H121" i="3"/>
  <c r="H128" i="3"/>
  <c r="H268" i="3"/>
  <c r="H58" i="3"/>
  <c r="K58" i="3" s="1"/>
  <c r="H290" i="3"/>
  <c r="H285" i="3"/>
  <c r="H68" i="3"/>
  <c r="K68" i="3" s="1"/>
  <c r="H123" i="3"/>
  <c r="H222" i="3"/>
  <c r="H266" i="3"/>
  <c r="H177" i="3"/>
  <c r="H185" i="3"/>
  <c r="H38" i="3"/>
  <c r="H242" i="3"/>
  <c r="H286" i="3"/>
  <c r="H279" i="3"/>
  <c r="H244" i="3"/>
  <c r="H65" i="3"/>
  <c r="H83" i="3"/>
  <c r="H64" i="3"/>
  <c r="I30" i="2"/>
  <c r="H245" i="3"/>
  <c r="H43" i="3"/>
  <c r="H88" i="3"/>
  <c r="H178" i="3"/>
  <c r="H184" i="3"/>
  <c r="H230" i="3"/>
  <c r="K230" i="3" s="1"/>
  <c r="H53" i="3"/>
  <c r="H116" i="3"/>
  <c r="H237" i="3"/>
  <c r="H92" i="3"/>
  <c r="H11" i="3"/>
  <c r="H235" i="3"/>
  <c r="H250" i="3"/>
  <c r="H122" i="3"/>
  <c r="H265" i="3"/>
  <c r="H85" i="3"/>
  <c r="H276" i="3"/>
  <c r="H195" i="3"/>
  <c r="K195" i="3" s="1"/>
  <c r="H91" i="3"/>
  <c r="H117" i="3"/>
  <c r="H141" i="3"/>
  <c r="H212" i="3"/>
  <c r="H146" i="3"/>
  <c r="H107" i="3"/>
  <c r="H240" i="3"/>
  <c r="H20" i="3"/>
  <c r="H270" i="3"/>
  <c r="H192" i="3"/>
  <c r="H239" i="3"/>
  <c r="H211" i="3"/>
  <c r="H112" i="3"/>
  <c r="H13" i="3"/>
  <c r="H238" i="3"/>
  <c r="H93" i="3"/>
  <c r="H188" i="3"/>
  <c r="H259" i="3"/>
  <c r="H55" i="3"/>
  <c r="K55" i="3" s="1"/>
  <c r="H113" i="3"/>
  <c r="H62" i="3"/>
  <c r="H66" i="3"/>
  <c r="H108" i="3"/>
  <c r="H32" i="3"/>
  <c r="K32" i="3" s="1"/>
  <c r="H134" i="3"/>
  <c r="H186" i="3"/>
  <c r="H249" i="3"/>
  <c r="H247" i="3"/>
  <c r="H27" i="3"/>
  <c r="H132" i="3"/>
  <c r="H336" i="3"/>
  <c r="H40" i="3"/>
  <c r="H189" i="3"/>
  <c r="K189" i="3" s="1"/>
  <c r="H296" i="3"/>
  <c r="H110" i="3"/>
  <c r="K110" i="3" s="1"/>
  <c r="H51" i="3"/>
  <c r="H328" i="3"/>
  <c r="K328" i="3" s="1"/>
  <c r="H16" i="3"/>
  <c r="H133" i="3"/>
  <c r="H90" i="3"/>
  <c r="H335" i="3"/>
  <c r="H135" i="3"/>
  <c r="H131" i="3"/>
  <c r="H7" i="3"/>
  <c r="H337" i="3"/>
  <c r="H130" i="3"/>
  <c r="K130" i="3" s="1"/>
  <c r="H15" i="3"/>
  <c r="H325" i="3"/>
  <c r="H82" i="3"/>
  <c r="K82" i="3" s="1"/>
  <c r="K87" i="3" s="1"/>
  <c r="H327" i="3"/>
  <c r="H47" i="3"/>
  <c r="H254" i="3"/>
  <c r="K254" i="3" s="1"/>
  <c r="H54" i="3"/>
  <c r="H187" i="3"/>
  <c r="H232" i="3"/>
  <c r="H280" i="3"/>
  <c r="H44" i="3"/>
  <c r="H234" i="3"/>
  <c r="H288" i="3"/>
  <c r="H248" i="3"/>
  <c r="H309" i="3"/>
  <c r="H267" i="3"/>
  <c r="K267" i="3" s="1"/>
  <c r="H25" i="3"/>
  <c r="H28" i="3"/>
  <c r="H326" i="3"/>
  <c r="H49" i="3"/>
  <c r="H6" i="3"/>
  <c r="H39" i="3"/>
  <c r="K39" i="3" s="1"/>
  <c r="H23" i="3"/>
  <c r="H12" i="3"/>
  <c r="G35" i="2"/>
  <c r="H34" i="3"/>
  <c r="H33" i="2"/>
  <c r="H41" i="3"/>
  <c r="H52" i="3"/>
  <c r="H50" i="3"/>
  <c r="H80" i="3"/>
  <c r="K80" i="3" s="1"/>
  <c r="G33" i="2"/>
  <c r="H278" i="3"/>
  <c r="H33" i="3"/>
  <c r="H81" i="3"/>
  <c r="H37" i="3"/>
  <c r="H181" i="3"/>
  <c r="L42" i="2"/>
  <c r="L36" i="2"/>
  <c r="P49" i="2"/>
  <c r="K40" i="3" l="1"/>
  <c r="H319" i="3"/>
  <c r="L31" i="2"/>
  <c r="L32" i="2" s="1"/>
  <c r="E126" i="2" s="1"/>
  <c r="H324" i="3"/>
  <c r="K324" i="3" s="1"/>
  <c r="K325" i="3" s="1"/>
  <c r="H180" i="3"/>
  <c r="H26" i="3"/>
  <c r="K26" i="3" s="1"/>
  <c r="K27" i="3" s="1"/>
  <c r="H3" i="3"/>
  <c r="K3" i="3" s="1"/>
  <c r="K4" i="3" s="1"/>
  <c r="H312" i="3"/>
  <c r="K312" i="3" s="1"/>
  <c r="H315" i="3"/>
  <c r="H182" i="3"/>
  <c r="K182" i="3" s="1"/>
  <c r="K188" i="3" s="1"/>
  <c r="H9" i="3"/>
  <c r="H175" i="3"/>
  <c r="K175" i="3" s="1"/>
  <c r="H330" i="3"/>
  <c r="K330" i="3" s="1"/>
  <c r="H5" i="3"/>
  <c r="K5" i="3" s="1"/>
  <c r="K6" i="3" s="1"/>
  <c r="H333" i="3"/>
  <c r="H183" i="3"/>
  <c r="H42" i="3"/>
  <c r="K42" i="3" s="1"/>
  <c r="H317" i="3"/>
  <c r="H322" i="3"/>
  <c r="H323" i="3"/>
  <c r="H30" i="3"/>
  <c r="H334" i="3"/>
  <c r="K334" i="3" s="1"/>
  <c r="K336" i="3" s="1"/>
  <c r="H236" i="3"/>
  <c r="K236" i="3" s="1"/>
  <c r="H29" i="3"/>
  <c r="H316" i="3"/>
  <c r="K316" i="3" s="1"/>
  <c r="H246" i="3"/>
  <c r="K246" i="3" s="1"/>
  <c r="K247" i="3" s="1"/>
  <c r="H233" i="3"/>
  <c r="K233" i="3" s="1"/>
  <c r="H176" i="3"/>
  <c r="H314" i="3"/>
  <c r="H35" i="3"/>
  <c r="K35" i="3" s="1"/>
  <c r="H318" i="3"/>
  <c r="H48" i="3"/>
  <c r="K48" i="3" s="1"/>
  <c r="H320" i="3"/>
  <c r="K320" i="3" s="1"/>
  <c r="H313" i="3"/>
  <c r="H331" i="3"/>
  <c r="H36" i="3"/>
  <c r="K36" i="3" s="1"/>
  <c r="H179" i="3"/>
  <c r="H321" i="3"/>
  <c r="H31" i="3"/>
  <c r="H332" i="3"/>
  <c r="H8" i="3"/>
  <c r="K8" i="3" s="1"/>
  <c r="K149" i="3"/>
  <c r="L47" i="2"/>
  <c r="D46" i="2" s="1"/>
  <c r="K139" i="3"/>
  <c r="K288" i="3"/>
  <c r="K156" i="3"/>
  <c r="K143" i="3"/>
  <c r="A151" i="4"/>
  <c r="C150" i="4"/>
  <c r="B150" i="4"/>
  <c r="F124" i="4"/>
  <c r="H346" i="3" s="1"/>
  <c r="K346" i="3" s="1"/>
  <c r="K12" i="3"/>
  <c r="K16" i="3"/>
  <c r="K13" i="3"/>
  <c r="K15" i="3"/>
  <c r="K25" i="3"/>
  <c r="K141" i="3"/>
  <c r="K144" i="3"/>
  <c r="K125" i="3"/>
  <c r="K309" i="3"/>
  <c r="K146" i="3"/>
  <c r="K145" i="3"/>
  <c r="K140" i="3"/>
  <c r="K166" i="3"/>
  <c r="K23" i="3"/>
  <c r="K169" i="3"/>
  <c r="K204" i="3"/>
  <c r="K203" i="3"/>
  <c r="K199" i="3"/>
  <c r="K198" i="3"/>
  <c r="K20" i="3"/>
  <c r="K11" i="3"/>
  <c r="K70" i="3"/>
  <c r="K296" i="3"/>
  <c r="K222" i="3"/>
  <c r="K34" i="3"/>
  <c r="K37" i="3"/>
  <c r="K234" i="3"/>
  <c r="K265" i="3"/>
  <c r="K64" i="3"/>
  <c r="K278" i="3"/>
  <c r="K239" i="3"/>
  <c r="K276" i="3"/>
  <c r="K226" i="3"/>
  <c r="K280" i="3"/>
  <c r="K232" i="3"/>
  <c r="K57" i="3"/>
  <c r="K235" i="3"/>
  <c r="K109" i="3"/>
  <c r="K78" i="3"/>
  <c r="K22" i="3"/>
  <c r="K24" i="3"/>
  <c r="K174" i="3"/>
  <c r="K170" i="3"/>
  <c r="K131" i="3"/>
  <c r="K277" i="3"/>
  <c r="K132" i="3"/>
  <c r="K228" i="3"/>
  <c r="K279" i="3"/>
  <c r="K154" i="3"/>
  <c r="K162" i="3"/>
  <c r="K266" i="3"/>
  <c r="K263" i="3"/>
  <c r="K197" i="3"/>
  <c r="K284" i="3"/>
  <c r="K96" i="3"/>
  <c r="K17" i="3"/>
  <c r="K122" i="3"/>
  <c r="K259" i="3"/>
  <c r="K118" i="3"/>
  <c r="K261" i="3"/>
  <c r="K54" i="3"/>
  <c r="K123" i="3"/>
  <c r="K124" i="3"/>
  <c r="K264" i="3"/>
  <c r="K18" i="3"/>
  <c r="K212" i="3"/>
  <c r="K19" i="3"/>
  <c r="K133" i="3"/>
  <c r="K285" i="3"/>
  <c r="K287" i="3"/>
  <c r="K244" i="3"/>
  <c r="K290" i="3"/>
  <c r="K193" i="3"/>
  <c r="K113" i="3"/>
  <c r="K134" i="3"/>
  <c r="K112" i="3"/>
  <c r="K61" i="3"/>
  <c r="K202" i="3"/>
  <c r="K242" i="3"/>
  <c r="K286" i="3"/>
  <c r="K283" i="3"/>
  <c r="K224" i="3"/>
  <c r="K52" i="3"/>
  <c r="K90" i="3"/>
  <c r="K93" i="3"/>
  <c r="K92" i="3"/>
  <c r="K83" i="3"/>
  <c r="K127" i="3"/>
  <c r="K208" i="3"/>
  <c r="K302" i="3"/>
  <c r="K293" i="3"/>
  <c r="K79" i="3"/>
  <c r="K150" i="3"/>
  <c r="K167" i="3"/>
  <c r="K171" i="3"/>
  <c r="K213" i="3"/>
  <c r="K86" i="3"/>
  <c r="K47" i="3"/>
  <c r="K238" i="3"/>
  <c r="K237" i="3"/>
  <c r="K65" i="3"/>
  <c r="K126" i="3"/>
  <c r="K329" i="3"/>
  <c r="K221" i="3"/>
  <c r="K60" i="3"/>
  <c r="K105" i="3"/>
  <c r="K209" i="3"/>
  <c r="K172" i="3"/>
  <c r="K74" i="3"/>
  <c r="K271" i="3"/>
  <c r="K41" i="3"/>
  <c r="K117" i="3"/>
  <c r="K116" i="3"/>
  <c r="K256" i="3"/>
  <c r="K295" i="3"/>
  <c r="K308" i="3"/>
  <c r="F125" i="4"/>
  <c r="F127" i="4"/>
  <c r="F126" i="4"/>
  <c r="K311" i="3"/>
  <c r="K160" i="3"/>
  <c r="K89" i="3"/>
  <c r="K91" i="3"/>
  <c r="K53" i="3"/>
  <c r="K119" i="3"/>
  <c r="K46" i="3"/>
  <c r="K297" i="3"/>
  <c r="K299" i="3"/>
  <c r="K99" i="3"/>
  <c r="K304" i="3"/>
  <c r="K200" i="3"/>
  <c r="K196" i="3"/>
  <c r="K152" i="3"/>
  <c r="K231" i="3"/>
  <c r="K73" i="3"/>
  <c r="K268" i="3"/>
  <c r="K114" i="3"/>
  <c r="K111" i="3"/>
  <c r="K305" i="3"/>
  <c r="K194" i="3"/>
  <c r="K292" i="3"/>
  <c r="K115" i="3"/>
  <c r="K104" i="3"/>
  <c r="K157" i="3"/>
  <c r="K275" i="3"/>
  <c r="K128" i="3"/>
  <c r="K120" i="3"/>
  <c r="K101" i="3"/>
  <c r="K291" i="3"/>
  <c r="K258" i="3"/>
  <c r="K84" i="3"/>
  <c r="K173" i="3"/>
  <c r="K165" i="3"/>
  <c r="K216" i="3"/>
  <c r="K229" i="3"/>
  <c r="K191" i="3"/>
  <c r="K135" i="3"/>
  <c r="K66" i="3"/>
  <c r="K192" i="3"/>
  <c r="K85" i="3"/>
  <c r="K38" i="3"/>
  <c r="K121" i="3"/>
  <c r="K69" i="3"/>
  <c r="K310" i="3"/>
  <c r="K298" i="3"/>
  <c r="K103" i="3"/>
  <c r="K98" i="3"/>
  <c r="K97" i="3"/>
  <c r="K155" i="3"/>
  <c r="K63" i="3"/>
  <c r="K227" i="3"/>
  <c r="K71" i="3"/>
  <c r="K51" i="3"/>
  <c r="K33" i="3"/>
  <c r="K108" i="3"/>
  <c r="D35" i="2"/>
  <c r="H35" i="2"/>
  <c r="E35" i="2"/>
  <c r="F35" i="2"/>
  <c r="K44" i="3"/>
  <c r="K62" i="3"/>
  <c r="K270" i="3"/>
  <c r="K88" i="3"/>
  <c r="K76" i="3"/>
  <c r="K100" i="3"/>
  <c r="K95" i="3"/>
  <c r="K274" i="3"/>
  <c r="K102" i="3"/>
  <c r="K243" i="3"/>
  <c r="K72" i="3"/>
  <c r="K260" i="3"/>
  <c r="K43" i="3"/>
  <c r="K255" i="3"/>
  <c r="K211" i="3"/>
  <c r="K306" i="3"/>
  <c r="K303" i="3"/>
  <c r="K151" i="3"/>
  <c r="K161" i="3"/>
  <c r="K148" i="3"/>
  <c r="K14" i="3"/>
  <c r="K138" i="3"/>
  <c r="K142" i="3"/>
  <c r="K75" i="3"/>
  <c r="K81" i="3"/>
  <c r="A33" i="2" s="1"/>
  <c r="K240" i="3"/>
  <c r="K245" i="3"/>
  <c r="K45" i="3"/>
  <c r="K59" i="3"/>
  <c r="K77" i="3"/>
  <c r="K289" i="3"/>
  <c r="K301" i="3"/>
  <c r="K190" i="3"/>
  <c r="K241" i="3"/>
  <c r="K201" i="3"/>
  <c r="K153" i="3"/>
  <c r="K214" i="3"/>
  <c r="K215" i="3"/>
  <c r="K50" i="3"/>
  <c r="K49" i="3"/>
  <c r="K107" i="3"/>
  <c r="K205" i="3"/>
  <c r="K129" i="3"/>
  <c r="K56" i="3"/>
  <c r="K300" i="3"/>
  <c r="K262" i="3"/>
  <c r="K106" i="3"/>
  <c r="K225" i="3"/>
  <c r="K159" i="3"/>
  <c r="K164" i="3"/>
  <c r="K269" i="3"/>
  <c r="K273" i="3"/>
  <c r="K217" i="3"/>
  <c r="E33" i="2" l="1"/>
  <c r="F33" i="2"/>
  <c r="D33" i="2"/>
  <c r="DK58" i="4"/>
  <c r="DI29" i="4"/>
  <c r="DK55" i="4"/>
  <c r="DI26" i="4"/>
  <c r="K319" i="3"/>
  <c r="FD7" i="4" s="1"/>
  <c r="K327" i="3"/>
  <c r="FD13" i="4" s="1"/>
  <c r="K326" i="3"/>
  <c r="K28" i="3"/>
  <c r="K31" i="3"/>
  <c r="K29" i="3"/>
  <c r="K180" i="3"/>
  <c r="K181" i="3"/>
  <c r="K177" i="3"/>
  <c r="K9" i="3"/>
  <c r="K30" i="3"/>
  <c r="K333" i="3"/>
  <c r="K315" i="3"/>
  <c r="K332" i="3"/>
  <c r="K313" i="3"/>
  <c r="K179" i="3"/>
  <c r="K314" i="3"/>
  <c r="K337" i="3"/>
  <c r="K186" i="3"/>
  <c r="K187" i="3"/>
  <c r="K178" i="3"/>
  <c r="K184" i="3"/>
  <c r="K176" i="3"/>
  <c r="K7" i="3"/>
  <c r="K183" i="3"/>
  <c r="K185" i="3"/>
  <c r="K331" i="3"/>
  <c r="K323" i="3"/>
  <c r="K250" i="3"/>
  <c r="K322" i="3"/>
  <c r="K249" i="3"/>
  <c r="K248" i="3"/>
  <c r="K317" i="3"/>
  <c r="K318" i="3"/>
  <c r="K321" i="3"/>
  <c r="K335" i="3"/>
  <c r="B151" i="4"/>
  <c r="C151" i="4"/>
  <c r="FD19" i="4"/>
  <c r="FD32" i="4"/>
  <c r="FD22" i="4"/>
  <c r="FD14" i="4"/>
  <c r="FD11" i="4"/>
  <c r="FD23" i="4"/>
  <c r="FD21" i="4"/>
  <c r="H368" i="3"/>
  <c r="K368" i="3" s="1"/>
  <c r="H373" i="3"/>
  <c r="K373" i="3" s="1"/>
  <c r="H363" i="3"/>
  <c r="K363" i="3" s="1"/>
  <c r="H353" i="3"/>
  <c r="K353" i="3" s="1"/>
  <c r="H218" i="3"/>
  <c r="K218" i="3" s="1"/>
  <c r="H358" i="3"/>
  <c r="K358" i="3" s="1"/>
  <c r="H339" i="3"/>
  <c r="K339" i="3" s="1"/>
  <c r="K350" i="3" l="1"/>
  <c r="K349" i="3"/>
  <c r="K351" i="3"/>
  <c r="DI27" i="4"/>
  <c r="DK56" i="4"/>
  <c r="DK57" i="4"/>
  <c r="DM57" i="4" s="1"/>
  <c r="L41" i="2" s="1"/>
  <c r="DI28" i="4"/>
  <c r="DK28" i="4" s="1"/>
  <c r="L35" i="2" s="1"/>
  <c r="L46" i="2" s="1"/>
  <c r="F41" i="2" s="1"/>
  <c r="F44" i="2" s="1"/>
  <c r="FD12" i="4"/>
  <c r="FD16" i="4"/>
  <c r="FD17" i="4"/>
  <c r="FD43" i="4"/>
  <c r="FD40" i="4"/>
  <c r="FD4" i="4"/>
  <c r="FD2" i="4"/>
  <c r="FD3" i="4"/>
  <c r="FD20" i="4"/>
  <c r="FD42" i="4"/>
  <c r="FD35" i="4"/>
  <c r="FD36" i="4"/>
  <c r="FD18" i="4"/>
  <c r="FD41" i="4"/>
  <c r="FD10" i="4"/>
  <c r="FD38" i="4"/>
  <c r="FD37" i="4"/>
  <c r="FD9" i="4"/>
  <c r="FD15" i="4"/>
  <c r="FD6" i="4"/>
  <c r="FD8" i="4"/>
  <c r="FD5" i="4"/>
  <c r="I27" i="2"/>
  <c r="K371" i="3"/>
  <c r="K376" i="3"/>
  <c r="K361" i="3"/>
  <c r="K375" i="3"/>
  <c r="K359" i="3"/>
  <c r="K360" i="3"/>
  <c r="K364" i="3"/>
  <c r="K374" i="3"/>
  <c r="K356" i="3"/>
  <c r="K366" i="3"/>
  <c r="K357" i="3"/>
  <c r="K372" i="3"/>
  <c r="K367" i="3"/>
  <c r="K354" i="3"/>
  <c r="K355" i="3"/>
  <c r="K369" i="3"/>
  <c r="K370" i="3"/>
  <c r="K365" i="3"/>
  <c r="K377" i="3"/>
  <c r="K362" i="3"/>
  <c r="K219" i="3"/>
  <c r="A37" i="2" s="1"/>
  <c r="K345" i="3"/>
  <c r="K342" i="3"/>
  <c r="K348" i="3"/>
  <c r="K344" i="3"/>
  <c r="K341" i="3"/>
  <c r="K352" i="3"/>
  <c r="K347" i="3"/>
  <c r="K340" i="3"/>
  <c r="K343" i="3"/>
  <c r="FD28" i="4" l="1"/>
  <c r="FE28" i="4" s="1"/>
  <c r="FD30" i="4"/>
  <c r="FE30" i="4" s="1"/>
  <c r="FD29" i="4"/>
  <c r="FE29" i="4" s="1"/>
  <c r="FD31" i="4"/>
  <c r="FE31" i="4" s="1"/>
  <c r="FD24" i="4"/>
  <c r="FE24" i="4" s="1"/>
  <c r="FD27" i="4"/>
  <c r="FE27" i="4" s="1"/>
  <c r="FD26" i="4"/>
  <c r="FE26" i="4" s="1"/>
  <c r="FD25" i="4"/>
  <c r="FE25" i="4" s="1"/>
  <c r="F43" i="2"/>
  <c r="F45" i="2"/>
  <c r="F42" i="2"/>
  <c r="R398" i="3" l="1"/>
  <c r="T398" i="3" s="1"/>
  <c r="R391" i="3"/>
  <c r="T391" i="3" s="1"/>
  <c r="I48" i="2" s="1"/>
  <c r="R393" i="3"/>
  <c r="T393" i="3" s="1"/>
  <c r="R394" i="3"/>
  <c r="T394" i="3" s="1"/>
  <c r="R396" i="3"/>
  <c r="T396" i="3" s="1"/>
  <c r="R386" i="3"/>
  <c r="T386" i="3" s="1"/>
  <c r="D48" i="2" s="1"/>
  <c r="R402" i="3"/>
  <c r="T402" i="3" s="1"/>
  <c r="R400" i="3"/>
  <c r="T400" i="3" s="1"/>
  <c r="R401" i="3"/>
  <c r="T401" i="3" s="1"/>
  <c r="R397" i="3"/>
  <c r="T397" i="3" s="1"/>
  <c r="R387" i="3"/>
  <c r="T387" i="3" s="1"/>
  <c r="E48" i="2" s="1"/>
  <c r="R395" i="3"/>
  <c r="T395" i="3" s="1"/>
  <c r="R392" i="3"/>
  <c r="T392" i="3" s="1"/>
  <c r="R388" i="3"/>
  <c r="T388" i="3" s="1"/>
  <c r="F48" i="2" s="1"/>
  <c r="R389" i="3"/>
  <c r="G49" i="2" s="1"/>
  <c r="G51" i="2" s="1"/>
  <c r="R403" i="3"/>
  <c r="T403" i="3" s="1"/>
  <c r="R390" i="3"/>
  <c r="T390" i="3" s="1"/>
  <c r="H48" i="2" s="1"/>
  <c r="R385" i="3"/>
  <c r="T385" i="3" s="1"/>
  <c r="C48" i="2" s="1"/>
  <c r="R404" i="3"/>
  <c r="T404" i="3" s="1"/>
  <c r="R399" i="3"/>
  <c r="T399" i="3" s="1"/>
  <c r="I49" i="2" l="1"/>
  <c r="I53" i="2" s="1"/>
  <c r="I55" i="2" s="1"/>
  <c r="F49" i="2"/>
  <c r="F53" i="2" s="1"/>
  <c r="F55" i="2" s="1"/>
  <c r="H49" i="2"/>
  <c r="H53" i="2" s="1"/>
  <c r="H55" i="2" s="1"/>
  <c r="D49" i="2"/>
  <c r="D53" i="2" s="1"/>
  <c r="D55" i="2" s="1"/>
  <c r="E49" i="2"/>
  <c r="E53" i="2" s="1"/>
  <c r="E55" i="2" s="1"/>
  <c r="T389" i="3"/>
  <c r="G48" i="2" s="1"/>
  <c r="G53" i="2" s="1"/>
  <c r="G55" i="2" s="1"/>
  <c r="C49" i="2"/>
  <c r="C53" i="2" s="1"/>
  <c r="C55" i="2" s="1"/>
  <c r="I51" i="2" l="1"/>
  <c r="F51" i="2"/>
  <c r="H51" i="2"/>
  <c r="D51" i="2"/>
  <c r="E51" i="2"/>
  <c r="C51" i="2"/>
  <c r="AU16" i="5"/>
  <c r="AU15" i="5" s="1"/>
  <c r="AU14" i="5" s="1"/>
  <c r="AU13" i="5" s="1"/>
  <c r="AU12" i="5" s="1"/>
  <c r="AU11" i="5" s="1"/>
  <c r="AU10" i="5" s="1"/>
  <c r="AU9" i="5" s="1"/>
  <c r="AU8" i="5" s="1"/>
  <c r="AU7" i="5" s="1"/>
  <c r="AU6" i="5" s="1"/>
  <c r="AU5" i="5" s="1"/>
  <c r="AU4" i="5" s="1"/>
</calcChain>
</file>

<file path=xl/sharedStrings.xml><?xml version="1.0" encoding="utf-8"?>
<sst xmlns="http://schemas.openxmlformats.org/spreadsheetml/2006/main" count="25431" uniqueCount="5579">
  <si>
    <t>Kuinka lomake täytetään, ja kuinka tehdään hahmo?</t>
  </si>
  <si>
    <t>1.</t>
  </si>
  <si>
    <r>
      <t xml:space="preserve">Talleta tiedosto toisella nimellä, esim. Varahahmo 2. </t>
    </r>
    <r>
      <rPr>
        <b/>
        <sz val="8"/>
        <color indexed="8"/>
        <rFont val="Arial"/>
        <family val="2"/>
        <charset val="1"/>
      </rPr>
      <t>Tallenna tiedosto omalla koneellasi toimivaan muotoon!</t>
    </r>
  </si>
  <si>
    <t>2.</t>
  </si>
  <si>
    <r>
      <t>Valitse,</t>
    </r>
    <r>
      <rPr>
        <sz val="8"/>
        <color indexed="8"/>
        <rFont val="Arial"/>
        <family val="2"/>
        <charset val="1"/>
      </rPr>
      <t xml:space="preserve"> haluatko tehdä </t>
    </r>
    <r>
      <rPr>
        <b/>
        <sz val="8"/>
        <color indexed="8"/>
        <rFont val="Arial"/>
        <family val="2"/>
        <charset val="1"/>
      </rPr>
      <t>suoraan Rural/Urban Man</t>
    </r>
    <r>
      <rPr>
        <sz val="8"/>
        <color indexed="8"/>
        <rFont val="Arial"/>
        <family val="2"/>
        <charset val="1"/>
      </rPr>
      <t>in, vai arpoa rodun taulukosta.</t>
    </r>
  </si>
  <si>
    <t>2.1.</t>
  </si>
  <si>
    <r>
      <t>Heitä Rotu ja kulttuuri, ellet valinnut Rural/Urban mania</t>
    </r>
    <r>
      <rPr>
        <sz val="8"/>
        <color indexed="8"/>
        <rFont val="Arial"/>
        <family val="2"/>
        <charset val="1"/>
      </rPr>
      <t>. Näet rotubonukset ja ammatin pääominaisuudet, joiden täytyy olla 90+.</t>
    </r>
  </si>
  <si>
    <t>2.2.</t>
  </si>
  <si>
    <r>
      <t>Valitse Ammatti</t>
    </r>
    <r>
      <rPr>
        <sz val="8"/>
        <color indexed="8"/>
        <rFont val="Arial"/>
        <family val="2"/>
        <charset val="1"/>
      </rPr>
      <t xml:space="preserve"> alasvetovalikosta.</t>
    </r>
  </si>
  <si>
    <t>2.3.</t>
  </si>
  <si>
    <r>
      <t>Valitse taikuuden ala</t>
    </r>
    <r>
      <rPr>
        <sz val="8"/>
        <color indexed="8"/>
        <rFont val="Arial"/>
        <family val="2"/>
        <charset val="1"/>
      </rPr>
      <t>, mikäli se ei tule ammatista valmiiksi.  (Vain Puret saavat +4 base spell listiä, RMSS s. 51)</t>
    </r>
  </si>
  <si>
    <t>2.4.</t>
  </si>
  <si>
    <r>
      <t>Valitse Valta</t>
    </r>
    <r>
      <rPr>
        <sz val="8"/>
        <color indexed="8"/>
        <rFont val="Arial"/>
        <family val="2"/>
        <charset val="1"/>
      </rPr>
      <t xml:space="preserve"> alasvetovalikosta. Mikäli </t>
    </r>
    <r>
      <rPr>
        <b/>
        <sz val="8"/>
        <color indexed="8"/>
        <rFont val="Arial"/>
        <family val="2"/>
        <charset val="1"/>
      </rPr>
      <t>ET ole Channelingin käyttäjä</t>
    </r>
    <r>
      <rPr>
        <sz val="8"/>
        <color indexed="8"/>
        <rFont val="Arial"/>
        <family val="2"/>
        <charset val="1"/>
      </rPr>
      <t xml:space="preserve">, voit valita </t>
    </r>
    <r>
      <rPr>
        <b/>
        <sz val="8"/>
        <color indexed="8"/>
        <rFont val="Arial"/>
        <family val="2"/>
        <charset val="1"/>
      </rPr>
      <t>myös None</t>
    </r>
    <r>
      <rPr>
        <sz val="8"/>
        <color indexed="8"/>
        <rFont val="Arial"/>
        <family val="2"/>
        <charset val="1"/>
      </rPr>
      <t>. Channelingin käyttäjillä täytyy olla Valta (eli Power Pointtien lähde).</t>
    </r>
  </si>
  <si>
    <t>2.5.</t>
  </si>
  <si>
    <t>Valitse Alignment. Alignmentin perässä on uusi kuvaus pelaajahahmojen alignmenteille. Tämän jälkeen on kerrottu vielä "polku", joka ohjaa hahmon toimintaa.</t>
  </si>
  <si>
    <t>2.5.1.</t>
  </si>
  <si>
    <t>Päätä se itse tai tee testi osoitteessa http://easydamus.com/alignmenttest.html</t>
  </si>
  <si>
    <t>2.5.2.</t>
  </si>
  <si>
    <t xml:space="preserve">Vaihtoehtoinen alignment ja tarkempaa tietoa: http://easydamus.com/alignmentreal.html tarkempaa määrittelyä varten. </t>
  </si>
  <si>
    <t>2.5.3.</t>
  </si>
  <si>
    <t>Huomaa, että nämä ovat vain hahmoja varten; ne ovat positiivissävytteisiä alignmentteja. Esim. chaotic evil -npc ei välttämättä sovi näihin raameihin.</t>
  </si>
  <si>
    <t>2.6.</t>
  </si>
  <si>
    <t>Valitse silmien, hiusten ja ihon väri. Voit myös keksiä ne itse, jos haluat esim. valkohiuksisen hahmon.</t>
  </si>
  <si>
    <t>3.</t>
  </si>
  <si>
    <r>
      <t xml:space="preserve">Sijoita hahmolle </t>
    </r>
    <r>
      <rPr>
        <b/>
        <sz val="8"/>
        <color indexed="8"/>
        <rFont val="Arial"/>
        <family val="2"/>
        <charset val="1"/>
      </rPr>
      <t>Statit</t>
    </r>
    <r>
      <rPr>
        <sz val="8"/>
        <color indexed="8"/>
        <rFont val="Arial"/>
        <family val="2"/>
        <charset val="1"/>
      </rPr>
      <t xml:space="preserve">. </t>
    </r>
  </si>
  <si>
    <t>3.1.</t>
  </si>
  <si>
    <t xml:space="preserve">Pisteitä on käytettävissä 660. Taulukko ilmoittaa kunkin statin hinnan ja jäljellä olevat pisteet ja laskee potentiaalin. </t>
  </si>
  <si>
    <t>3.2.</t>
  </si>
  <si>
    <t>Statteja voi optimoida; siellä on tiettyjä rajoja, joiden mukaan potentiaali muuttuu. Katso Info-välilehti solusta A165 alaspäin.</t>
  </si>
  <si>
    <t>3.3.</t>
  </si>
  <si>
    <t>Kun potentiaalit on saatu näkyviin, kopioi ne ja liitä ne määräten niiden paikalle lukuna. Tämä estää niiden muuttumisen, mikäli tempit nousevat.</t>
  </si>
  <si>
    <t>3.4.</t>
  </si>
  <si>
    <t>Ulkonäkö heitetään d100.</t>
  </si>
  <si>
    <t>3.5.</t>
  </si>
  <si>
    <r>
      <t>Heitä Social Status</t>
    </r>
    <r>
      <rPr>
        <sz val="8"/>
        <color indexed="8"/>
        <rFont val="Arial"/>
        <family val="2"/>
        <charset val="1"/>
      </rPr>
      <t xml:space="preserve"> ja merkitse tulos soluun L8. Tämä määrittää asemasi sekä perusaloitusrahat.</t>
    </r>
  </si>
  <si>
    <t>4.</t>
  </si>
  <si>
    <r>
      <t xml:space="preserve">Copy-Pasteta </t>
    </r>
    <r>
      <rPr>
        <b/>
        <sz val="8"/>
        <color indexed="8"/>
        <rFont val="Arial"/>
        <family val="2"/>
        <charset val="1"/>
      </rPr>
      <t>Adolescence Skill Rank</t>
    </r>
    <r>
      <rPr>
        <sz val="8"/>
        <color indexed="8"/>
        <rFont val="Arial"/>
        <family val="2"/>
        <charset val="1"/>
      </rPr>
      <t xml:space="preserve">it skillisivulta </t>
    </r>
    <r>
      <rPr>
        <b/>
        <sz val="8"/>
        <color indexed="8"/>
        <rFont val="Arial"/>
        <family val="2"/>
        <charset val="1"/>
      </rPr>
      <t>alla olevan ohjeen mukaisesti.</t>
    </r>
  </si>
  <si>
    <t>4.1.</t>
  </si>
  <si>
    <t>Määrittele asekykyjen rankit rotusi/kulttuurisi aloitusaseiden (Skills -välilehden solu N318) mukaisesti haluamiisi kategorioihin. Et voi yhdistää kahden kategorian ja kyvyn rankkeja.</t>
  </si>
  <si>
    <t>4.2.</t>
  </si>
  <si>
    <r>
      <t xml:space="preserve">Maalaa koko sarake solusta L3 alaspäin ja valitse kopioi. </t>
    </r>
    <r>
      <rPr>
        <b/>
        <sz val="8"/>
        <color indexed="8"/>
        <rFont val="Arial"/>
        <family val="2"/>
        <charset val="1"/>
      </rPr>
      <t>ÄLÄ tee tätä ennenkuin kohta 4.1. on tehty.</t>
    </r>
  </si>
  <si>
    <t>4.3.</t>
  </si>
  <si>
    <t>Liitä määräten rankkisarakkeeseen niin, että liität vain luvut/arvot ja tekstit (ei muotoiluja).</t>
  </si>
  <si>
    <t>4.4.</t>
  </si>
  <si>
    <t>Vaihda asekykyjen hintojen paikat haluamiisi asekykykategorioihin.</t>
  </si>
  <si>
    <t>5.</t>
  </si>
  <si>
    <r>
      <t>Käytä Talent Pointit</t>
    </r>
    <r>
      <rPr>
        <sz val="8"/>
        <color indexed="8"/>
        <rFont val="Arial"/>
        <family val="2"/>
        <charset val="1"/>
      </rPr>
      <t xml:space="preserve"> RM5806 – Character Law-kirjan mukaisesti sivulta 52 alkaen. Oikeat hinnat ja pisteet ovat hahmolomakkeessa.</t>
    </r>
  </si>
  <si>
    <t>5.1.</t>
  </si>
  <si>
    <r>
      <t xml:space="preserve">Valitse Talentit soluihin K57 – K67. </t>
    </r>
    <r>
      <rPr>
        <b/>
        <sz val="8"/>
        <color indexed="8"/>
        <rFont val="Arial"/>
        <family val="2"/>
        <charset val="1"/>
      </rPr>
      <t>Hahmolla voi olla maksimissaan kahdeksan Talenttia.</t>
    </r>
    <r>
      <rPr>
        <sz val="8"/>
        <color indexed="8"/>
        <rFont val="Arial"/>
        <family val="2"/>
        <charset val="1"/>
      </rPr>
      <t xml:space="preserve"> Maksut tulevat automaattisesti viereisiin soluihin.</t>
    </r>
  </si>
  <si>
    <t>5.1.1.</t>
  </si>
  <si>
    <t>Talenttien lähde, syy tai ilmaantuminen täytyy mainita hahmon taustassa jollain tavalla. Tapa voi olla esim. piilevä kyky, treenattu taito tai voimakkaan taikuuden tulos.</t>
  </si>
  <si>
    <t>5.1.2.</t>
  </si>
  <si>
    <t>Stattibonustalentin voi itse päättää vain jos se kohdistuu Prime Stattiin. Muutoin se arvotaan d10 -heitolla kaikkien stattien kesken.</t>
  </si>
  <si>
    <t>5.1.3.</t>
  </si>
  <si>
    <r>
      <t>Yhteen kykyyn voi vaikuttaa vain yksi talentti.</t>
    </r>
    <r>
      <rPr>
        <sz val="8"/>
        <color indexed="8"/>
        <rFont val="Arial"/>
        <family val="2"/>
        <charset val="1"/>
      </rPr>
      <t xml:space="preserve"> Mikäli talentti vaikuttaa kategoriaan, katsotaan sen vaikuttavan kykyynkin.</t>
    </r>
  </si>
  <si>
    <t>5.2.</t>
  </si>
  <si>
    <r>
      <t xml:space="preserve">Valitse Flawit soluihin M57 – M67. </t>
    </r>
    <r>
      <rPr>
        <b/>
        <sz val="8"/>
        <color indexed="8"/>
        <rFont val="Arial"/>
        <family val="2"/>
        <charset val="1"/>
      </rPr>
      <t xml:space="preserve">Hahmolla voi olla maksimissaan neljä Flawia. </t>
    </r>
    <r>
      <rPr>
        <sz val="8"/>
        <color indexed="8"/>
        <rFont val="Arial"/>
        <family val="2"/>
        <charset val="1"/>
      </rPr>
      <t>Näistä saatavat pisteet tulevat automaattisesti viereisiin soluihin. Flawien tulee olla järkeviä.</t>
    </r>
  </si>
  <si>
    <t>5.2.1.</t>
  </si>
  <si>
    <t xml:space="preserve">Esim. non-spell user ei voi ottaa flawia, joka antaa miinusta loitsujen heittoon. </t>
  </si>
  <si>
    <t>5.2.2.</t>
  </si>
  <si>
    <t>Flawien eivät saa vaikuttaa samaan asiaan kuin Talentit (eli ei voi ottaa -3 AG ja +5 AG flawia ja talenttia).</t>
  </si>
  <si>
    <t>5.3.</t>
  </si>
  <si>
    <t>Solussa L70 näet käytettävissä olevat Talent Pointit.</t>
  </si>
  <si>
    <t>5.4.</t>
  </si>
  <si>
    <t xml:space="preserve">Poista sarakkeessa A (83 eteenpäin) olevat ylimääräiset Talentit, mitä et valinnut. Tee samoin Flaweille. </t>
  </si>
  <si>
    <t>6.</t>
  </si>
  <si>
    <r>
      <t>Muuta käsin rotusi ja ammattisi</t>
    </r>
    <r>
      <rPr>
        <b/>
        <sz val="8"/>
        <color indexed="8"/>
        <rFont val="Arial"/>
        <family val="2"/>
        <charset val="1"/>
      </rPr>
      <t xml:space="preserve"> Everyman</t>
    </r>
    <r>
      <rPr>
        <sz val="8"/>
        <color indexed="8"/>
        <rFont val="Arial"/>
        <family val="2"/>
        <charset val="1"/>
      </rPr>
      <t xml:space="preserve">, </t>
    </r>
    <r>
      <rPr>
        <i/>
        <sz val="8"/>
        <color indexed="8"/>
        <rFont val="Arial"/>
        <family val="2"/>
        <charset val="1"/>
      </rPr>
      <t>Restricted</t>
    </r>
    <r>
      <rPr>
        <sz val="8"/>
        <color indexed="8"/>
        <rFont val="Arial"/>
        <family val="2"/>
        <charset val="1"/>
      </rPr>
      <t xml:space="preserve"> ja </t>
    </r>
    <r>
      <rPr>
        <u/>
        <sz val="8"/>
        <color indexed="8"/>
        <rFont val="Arial"/>
        <family val="2"/>
        <charset val="1"/>
      </rPr>
      <t>Occupational</t>
    </r>
    <r>
      <rPr>
        <sz val="8"/>
        <color indexed="8"/>
        <rFont val="Arial"/>
        <family val="2"/>
        <charset val="1"/>
      </rPr>
      <t xml:space="preserve"> -skillit taulukkoon.  </t>
    </r>
  </si>
  <si>
    <t>6.1.</t>
  </si>
  <si>
    <t>Everyman on lihavoitu: yhden rankin opettelulla saat kaksi rankkia kykyyn.</t>
  </si>
  <si>
    <t>6.2.</t>
  </si>
  <si>
    <t>Restricted kursivoitu: yhden rankin opettelu maksaa kahden rankin verran (voi tehdä kahdella eri tasolla; esim. tasolla 2 toinen opettelu ja tasolla 3 toinen).</t>
  </si>
  <si>
    <t>6.3.</t>
  </si>
  <si>
    <t>Occupational alleviivattu: yhden rankin opettelulla saat kolme rankkia kykyyn.</t>
  </si>
  <si>
    <t>7.</t>
  </si>
  <si>
    <t>Käytä Hobby Rankit niihin määritellyihin kykyihin. R/O/E -muutoksella kykyyn ei ole vaikutusta, 1 rankki on aina 1 rankki.</t>
  </si>
  <si>
    <t>8.</t>
  </si>
  <si>
    <t xml:space="preserve">Nyt hahmo on tasolla 0. Seuraavaksi se nostetaan tasolle 1. </t>
  </si>
  <si>
    <t>8.1.</t>
  </si>
  <si>
    <t>Voit halutessasi piilottaa Adolescence -rankit, Hobby rankit ja Everyman jne sarakkeet</t>
  </si>
  <si>
    <t>8.2.</t>
  </si>
  <si>
    <r>
      <t>Kirjoita</t>
    </r>
    <r>
      <rPr>
        <b/>
        <sz val="8"/>
        <color indexed="8"/>
        <rFont val="Arial"/>
        <family val="2"/>
        <charset val="1"/>
      </rPr>
      <t xml:space="preserve"> Iskuihisi</t>
    </r>
    <r>
      <rPr>
        <sz val="8"/>
        <color indexed="8"/>
        <rFont val="Arial"/>
        <family val="2"/>
        <charset val="1"/>
      </rPr>
      <t xml:space="preserve"> käyttämän hyökkäyskyvyn hinnat soluihin I384 ja J384. Mikäli hinta on vain yksi luku, toisen rankin laskennallinen hinta on 2 x ensimmäinen.Kirjoita</t>
    </r>
    <r>
      <rPr>
        <b/>
        <sz val="8"/>
        <color indexed="8"/>
        <rFont val="Arial"/>
        <family val="2"/>
        <charset val="1"/>
      </rPr>
      <t xml:space="preserve"> Iskuihisi</t>
    </r>
    <r>
      <rPr>
        <sz val="8"/>
        <color indexed="8"/>
        <rFont val="Arial"/>
        <family val="2"/>
        <charset val="1"/>
      </rPr>
      <t xml:space="preserve"> käyttämän hyökkäyskyvyn hinnat soluihin I384 ja J384. Mikäli hinta on vain yksi luku, toisen rankin laskennallinen hinta on 2 x ensimmäinen.</t>
    </r>
  </si>
  <si>
    <t>8.3.</t>
  </si>
  <si>
    <r>
      <t>Sarakkeeseen O</t>
    </r>
    <r>
      <rPr>
        <sz val="8"/>
        <color indexed="8"/>
        <rFont val="Arial"/>
        <family val="2"/>
        <charset val="1"/>
      </rPr>
      <t xml:space="preserve"> voit merkitä, </t>
    </r>
    <r>
      <rPr>
        <b/>
        <sz val="8"/>
        <color indexed="8"/>
        <rFont val="Arial"/>
        <family val="2"/>
        <charset val="1"/>
      </rPr>
      <t>montako rankkia</t>
    </r>
    <r>
      <rPr>
        <sz val="8"/>
        <color indexed="8"/>
        <rFont val="Arial"/>
        <family val="2"/>
        <charset val="1"/>
      </rPr>
      <t xml:space="preserve"> ostat tasolla.Sarakkeeseen O voit merkitä, </t>
    </r>
    <r>
      <rPr>
        <b/>
        <sz val="8"/>
        <color indexed="8"/>
        <rFont val="Arial"/>
        <family val="2"/>
        <charset val="1"/>
      </rPr>
      <t>montako rankkia</t>
    </r>
    <r>
      <rPr>
        <sz val="8"/>
        <color indexed="8"/>
        <rFont val="Arial"/>
        <family val="2"/>
        <charset val="1"/>
      </rPr>
      <t xml:space="preserve"> ostat tasolla.Sarakkeeseen O voit merkitä, </t>
    </r>
    <r>
      <rPr>
        <b/>
        <sz val="8"/>
        <color indexed="8"/>
        <rFont val="Arial"/>
        <family val="2"/>
        <charset val="1"/>
      </rPr>
      <t>montako rankkia</t>
    </r>
    <r>
      <rPr>
        <sz val="8"/>
        <color indexed="8"/>
        <rFont val="Arial"/>
        <family val="2"/>
        <charset val="1"/>
      </rPr>
      <t xml:space="preserve"> ostat tasolla.Sarakkeeseen O voit merkitä, </t>
    </r>
    <r>
      <rPr>
        <b/>
        <sz val="8"/>
        <color indexed="8"/>
        <rFont val="Arial"/>
        <family val="2"/>
        <charset val="1"/>
      </rPr>
      <t>montako rankkia</t>
    </r>
    <r>
      <rPr>
        <sz val="8"/>
        <color indexed="8"/>
        <rFont val="Arial"/>
        <family val="2"/>
        <charset val="1"/>
      </rPr>
      <t xml:space="preserve"> ostat tasolla.</t>
    </r>
  </si>
  <si>
    <t>8.4.</t>
  </si>
  <si>
    <r>
      <t>Sarakkeeseen P</t>
    </r>
    <r>
      <rPr>
        <sz val="8"/>
        <color indexed="8"/>
        <rFont val="Arial"/>
        <family val="2"/>
        <charset val="1"/>
      </rPr>
      <t xml:space="preserve"> voit merkitä, </t>
    </r>
    <r>
      <rPr>
        <b/>
        <sz val="8"/>
        <color indexed="8"/>
        <rFont val="Arial"/>
        <family val="2"/>
        <charset val="1"/>
      </rPr>
      <t>paljonko</t>
    </r>
    <r>
      <rPr>
        <sz val="8"/>
        <color indexed="8"/>
        <rFont val="Arial"/>
        <family val="2"/>
        <charset val="1"/>
      </rPr>
      <t xml:space="preserve"> nämä</t>
    </r>
    <r>
      <rPr>
        <b/>
        <sz val="8"/>
        <color indexed="8"/>
        <rFont val="Arial"/>
        <family val="2"/>
        <charset val="1"/>
      </rPr>
      <t xml:space="preserve"> rankit maksavatSarakkeeseen P</t>
    </r>
    <r>
      <rPr>
        <sz val="8"/>
        <color indexed="8"/>
        <rFont val="Arial"/>
        <family val="2"/>
        <charset val="1"/>
      </rPr>
      <t xml:space="preserve"> voit merkitä, </t>
    </r>
    <r>
      <rPr>
        <b/>
        <sz val="8"/>
        <color indexed="8"/>
        <rFont val="Arial"/>
        <family val="2"/>
        <charset val="1"/>
      </rPr>
      <t>paljonko</t>
    </r>
    <r>
      <rPr>
        <sz val="8"/>
        <color indexed="8"/>
        <rFont val="Arial"/>
        <family val="2"/>
        <charset val="1"/>
      </rPr>
      <t xml:space="preserve"> nämä</t>
    </r>
    <r>
      <rPr>
        <b/>
        <sz val="8"/>
        <color indexed="8"/>
        <rFont val="Arial"/>
        <family val="2"/>
        <charset val="1"/>
      </rPr>
      <t xml:space="preserve"> rankit maksavatSarakkeeseen P</t>
    </r>
    <r>
      <rPr>
        <sz val="8"/>
        <color indexed="8"/>
        <rFont val="Arial"/>
        <family val="2"/>
        <charset val="1"/>
      </rPr>
      <t xml:space="preserve"> voit merkitä, </t>
    </r>
    <r>
      <rPr>
        <b/>
        <sz val="8"/>
        <color indexed="8"/>
        <rFont val="Arial"/>
        <family val="2"/>
        <charset val="1"/>
      </rPr>
      <t>paljonko</t>
    </r>
    <r>
      <rPr>
        <sz val="8"/>
        <color indexed="8"/>
        <rFont val="Arial"/>
        <family val="2"/>
        <charset val="1"/>
      </rPr>
      <t xml:space="preserve"> nämä</t>
    </r>
    <r>
      <rPr>
        <b/>
        <sz val="8"/>
        <color indexed="8"/>
        <rFont val="Arial"/>
        <family val="2"/>
        <charset val="1"/>
      </rPr>
      <t xml:space="preserve"> rankit maksavatSarakkeeseen P</t>
    </r>
    <r>
      <rPr>
        <sz val="8"/>
        <color indexed="8"/>
        <rFont val="Arial"/>
        <family val="2"/>
        <charset val="1"/>
      </rPr>
      <t xml:space="preserve"> voit merkitä, </t>
    </r>
    <r>
      <rPr>
        <b/>
        <sz val="8"/>
        <color indexed="8"/>
        <rFont val="Arial"/>
        <family val="2"/>
        <charset val="1"/>
      </rPr>
      <t>paljonko</t>
    </r>
    <r>
      <rPr>
        <sz val="8"/>
        <color indexed="8"/>
        <rFont val="Arial"/>
        <family val="2"/>
        <charset val="1"/>
      </rPr>
      <t xml:space="preserve"> nämä</t>
    </r>
    <r>
      <rPr>
        <b/>
        <sz val="8"/>
        <color indexed="8"/>
        <rFont val="Arial"/>
        <family val="2"/>
        <charset val="1"/>
      </rPr>
      <t xml:space="preserve"> rankit maksavat</t>
    </r>
  </si>
  <si>
    <t>8.5.</t>
  </si>
  <si>
    <t>Training Packagien maksut löytyvät osoitteesta http://www.kuittaa.fi/newrpg/sekal/houserules/TP.pdf. Merkitse nämä käsin soluihin P424 – P427.</t>
  </si>
  <si>
    <t>8.5.1.</t>
  </si>
  <si>
    <t>Uuden Lifestyle-paketin voi ostaa aina 10. tason välein tasolta 0 alkaen; ts. tasolla 0, tasolla 10, tasolla 20 jne. Nämä paketit eivät saa olla samoja.</t>
  </si>
  <si>
    <t>8.5.2.</t>
  </si>
  <si>
    <r>
      <t>Vocational-paketteja</t>
    </r>
    <r>
      <rPr>
        <sz val="8"/>
        <color indexed="8"/>
        <rFont val="Arial"/>
        <family val="2"/>
        <charset val="1"/>
      </rPr>
      <t xml:space="preserve"> voi ostaa koska tahansa ja </t>
    </r>
    <r>
      <rPr>
        <b/>
        <sz val="8"/>
        <color indexed="8"/>
        <rFont val="Arial"/>
        <family val="2"/>
        <charset val="1"/>
      </rPr>
      <t>kuinka monta tahansa</t>
    </r>
    <r>
      <rPr>
        <sz val="8"/>
        <color indexed="8"/>
        <rFont val="Arial"/>
        <family val="2"/>
        <charset val="1"/>
      </rPr>
      <t xml:space="preserve">.Vocational-paketteja voi ostaa koska tahansa ja </t>
    </r>
    <r>
      <rPr>
        <b/>
        <sz val="8"/>
        <color indexed="8"/>
        <rFont val="Arial"/>
        <family val="2"/>
        <charset val="1"/>
      </rPr>
      <t>kuinka monta tahansa</t>
    </r>
    <r>
      <rPr>
        <sz val="8"/>
        <color indexed="8"/>
        <rFont val="Arial"/>
        <family val="2"/>
        <charset val="1"/>
      </rPr>
      <t>.</t>
    </r>
  </si>
  <si>
    <t>8.5.3.</t>
  </si>
  <si>
    <t>Saman Lifestyle- tai Vocational-paketin voi ostaa kahden tason välein, mutta maksimissaan 5 kertaa.</t>
  </si>
  <si>
    <t>8.5.4.</t>
  </si>
  <si>
    <t>Taustatarinasta täytyy löytyä syy tai selitys, miksi ja/tai miten kukin paketti on hankittu.</t>
  </si>
  <si>
    <t>8.5.5.</t>
  </si>
  <si>
    <t>Merkitse jokainen ostettu paketti paketin nimellä hahmolomakkeeseen, vaikka Background &amp; Special Notes -kohtaan.</t>
  </si>
  <si>
    <t>8.5.6.</t>
  </si>
  <si>
    <r>
      <t>Lifestyle -paketeista tulevat rankit ovat aina kumulatiivisia</t>
    </r>
    <r>
      <rPr>
        <sz val="8"/>
        <color indexed="8"/>
        <rFont val="Arial"/>
        <family val="2"/>
        <charset val="1"/>
      </rPr>
      <t>, toisin sanoen ne antavat rankkeja 10. rankin jälkeenkinLifestyle -paketeista tulevat rankit ovat aina kumulatiivisia, toisin sanoen ne antavat rankkeja 10. rankin jälkeenkin</t>
    </r>
  </si>
  <si>
    <t>8.5.7.</t>
  </si>
  <si>
    <t>R/O/E -kyvyt rodusta, ammatista tai talenteista eivät vaikuta TP-rankkeihin; 1 rankki TP:stä on 1 rankki kykyyn.</t>
  </si>
  <si>
    <t>8.6.</t>
  </si>
  <si>
    <t>Sarake Q laskee kokonaisrankit. Kun olet nostanut hahmon, kopio koko tämä sarake solusta Q3 alkaen</t>
  </si>
  <si>
    <t>8.7.</t>
  </si>
  <si>
    <t>Liitä kopio määräten sarakkeeseen D (ranks) siten, että liität vain luvut/arvot (ei muotoilua). Tyhjennä sarakkeet O ja P.</t>
  </si>
  <si>
    <t>8.8.</t>
  </si>
  <si>
    <r>
      <t xml:space="preserve">(KOSKEE VAIN UUSIA HAHMOJA) </t>
    </r>
    <r>
      <rPr>
        <sz val="8"/>
        <color indexed="8"/>
        <rFont val="Arial"/>
        <family val="2"/>
        <charset val="1"/>
      </rPr>
      <t>Training Packagien mukana on mahdollisuus saada tavaroita tai muuta boonusta. Nämä arvotaan seuraavasti:(KOSKEE VAIN UUSIA HAHMOJA) Training Packagien mukana on mahdollisuus saada tavaroita tai muuta boonusta. Nämä arvotaan seuraavasti:</t>
    </r>
  </si>
  <si>
    <t>8.8.1.</t>
  </si>
  <si>
    <t>Jokaisen kohdan perässä on suluissa (lukuarvo).</t>
  </si>
  <si>
    <t>8.8.2.</t>
  </si>
  <si>
    <t>Että kyseisen jutun saa, pitää heittää yli sata heitolla d100 + (lukuarvo).</t>
  </si>
  <si>
    <t>8.8.3.</t>
  </si>
  <si>
    <t>Jos saat jutun, sen perässä olevan jutun (lukuarvo) puolitetaan seuraavaa heittoa varten</t>
  </si>
  <si>
    <t>8.8.4.</t>
  </si>
  <si>
    <t>Näin jatketaan, kunnes kaikki jutut on arvottu, ja päästy kohtaan, missä lukuarvo on (0). Tällöin</t>
  </si>
  <si>
    <t>8.8.4.1.</t>
  </si>
  <si>
    <t>Mikäli sait jonkun jutun aiemmin, (0) ei vaikuta mitenkään, ellei kohdassa toisin mainita</t>
  </si>
  <si>
    <t>8.8.4.2.</t>
  </si>
  <si>
    <t>Mikäli et saanut mitään juttua, saat (0) -jutun.</t>
  </si>
  <si>
    <t>8.9.</t>
  </si>
  <si>
    <t>TP:t saattavat sisältää bonusaloitusrahaa. Tämä on yleensä joko normal, d10 tai d10 open ended.</t>
  </si>
  <si>
    <t>8.9.1.</t>
  </si>
  <si>
    <t>Normal ei anna ylimääräistä rahaa</t>
  </si>
  <si>
    <t>8.9.2.</t>
  </si>
  <si>
    <t>d10 antaa lisää d10 hopeakolikkoa (ellei toisin ole mainittu, esim. d10 kultakolikkoa)</t>
  </si>
  <si>
    <t>8.9.3.</t>
  </si>
  <si>
    <t>d10 open ended on kuten yllä, paitsi heitolla 0 (eli 10) saa heittää uuden d10, aina niin kauan kunnes silmäluku on jokin muu kuin 0. Heittojen summa lasketaan yhteen.</t>
  </si>
  <si>
    <t>8.10.</t>
  </si>
  <si>
    <t>Training Packaget saattavat antaa myös ylimääräisen stattinousuheiton, tee tämä mainituille stateille kuten kohdassa 15. kerrotaan</t>
  </si>
  <si>
    <t>9.</t>
  </si>
  <si>
    <r>
      <t xml:space="preserve">Merkitse käyttämäsi </t>
    </r>
    <r>
      <rPr>
        <b/>
        <sz val="8"/>
        <color indexed="8"/>
        <rFont val="Arial"/>
        <family val="2"/>
        <charset val="1"/>
      </rPr>
      <t>AT soluun D40</t>
    </r>
    <r>
      <rPr>
        <sz val="8"/>
        <color indexed="8"/>
        <rFont val="Arial"/>
        <family val="2"/>
        <charset val="1"/>
      </rPr>
      <t>. Lomake laskee muutokset liiketoimintoihin, Puolustusbonukseen ja Missile-hyökkäyksiin</t>
    </r>
  </si>
  <si>
    <t>10.</t>
  </si>
  <si>
    <t>Valitse ihon, hiusten ja silmien väri alasvetovalikosta.</t>
  </si>
  <si>
    <t>11.</t>
  </si>
  <si>
    <r>
      <t>Heitä pituus ja paino</t>
    </r>
    <r>
      <rPr>
        <sz val="8"/>
        <color indexed="8"/>
        <rFont val="Arial"/>
        <family val="2"/>
        <charset val="1"/>
      </rPr>
      <t>. Merkitse heitot niille varattuihin soluihin.</t>
    </r>
  </si>
  <si>
    <t>12.</t>
  </si>
  <si>
    <t>Tee soluviittaus haluamiisi loitsulistoihin Stattilehdelle.</t>
  </si>
  <si>
    <t>12.1.</t>
  </si>
  <si>
    <t>Oletuksena on omat peruslistat sekä avoimet, että suljetut listat.</t>
  </si>
  <si>
    <t>12.2.</t>
  </si>
  <si>
    <t>Arcane- ja TP-listat löytyvät Skills -lehden lopusta.</t>
  </si>
  <si>
    <t>13.</t>
  </si>
  <si>
    <t>Keksi hahmollesi parempi nimi kuin oletukseksi on laitettu.</t>
  </si>
  <si>
    <t>14.</t>
  </si>
  <si>
    <t>Loitsulistojen hinnan perässä oleva * kertoo, että hinnat muuttuvat myöhemmillä tasoilla. Tarkista tämä sääntökirjoista.</t>
  </si>
  <si>
    <t>15.</t>
  </si>
  <si>
    <t>Mikäli nostat hahmoasi seuraavalle tasolle voit tehdä stattinostot lomakkeen avulla.</t>
  </si>
  <si>
    <t>15.1.</t>
  </si>
  <si>
    <r>
      <t xml:space="preserve">Merkitse ensin kokemuspisteet seuraavalle tasolle. </t>
    </r>
    <r>
      <rPr>
        <b/>
        <sz val="8"/>
        <color indexed="8"/>
        <rFont val="Arial"/>
        <family val="2"/>
        <charset val="1"/>
      </rPr>
      <t>ÄLÄ</t>
    </r>
    <r>
      <rPr>
        <sz val="8"/>
        <color indexed="8"/>
        <rFont val="Arial"/>
        <family val="2"/>
        <charset val="1"/>
      </rPr>
      <t xml:space="preserve"> muuta tasoa käsin; se lasketaan pisteiden kautta!</t>
    </r>
  </si>
  <si>
    <t>15.2.</t>
  </si>
  <si>
    <t>Merkitse kaksi d10 heittoasi niille varattuihin soluihin (M12-21, N12-21)</t>
  </si>
  <si>
    <t>15.3.</t>
  </si>
  <si>
    <t>Lomake kertoo, paljonko statti nousee, jos se nousee. Statit eivät voi laskea.</t>
  </si>
  <si>
    <t>15.4.</t>
  </si>
  <si>
    <t>Voit halutessasi kopioida uudet statit (L12 – L21) ja liittää ne määräten lukuna (ilman muotoiluja) temppien paikalle.</t>
  </si>
  <si>
    <t>15.5.</t>
  </si>
  <si>
    <t>Jos Temp ja Pot ovat yhtäsuuret, ja heität nousuheittoon 99, niin Pot nousee yhdellä. Jos heität 00, Pot nousee kahdella. Maksimi on 102.</t>
  </si>
  <si>
    <t>15.6.</t>
  </si>
  <si>
    <t>R-kyvyt voi nostaa siten, että yhdellä tasolla maksaa puolet kyvyn nostosta, ja toisella tasolla toisen puolen.</t>
  </si>
  <si>
    <t>15.6.1.</t>
  </si>
  <si>
    <t>Esim. jos R-kyvyn hinta on 2/6, yhdellä tasolla voi maksaa 2 deviä ja toisella 2 deviä, ja tällöin saa 1 rankin.</t>
  </si>
  <si>
    <t>15.6.2.</t>
  </si>
  <si>
    <t>Esim. jos R-kyvyn hinta on 8, yhdellä tasolla voi maksaa 8 deviä ja toisella 8 deviä, ja tällöin saa 1 rankin.</t>
  </si>
  <si>
    <t>16.</t>
  </si>
  <si>
    <t>Muita huomionarvoisia seikkoja</t>
  </si>
  <si>
    <t>16.1.</t>
  </si>
  <si>
    <t>Kategoriarankkien boonus pysähtyy rankkiin 30. Ei siis kannata ostaa enempää rankkeja näihin.</t>
  </si>
  <si>
    <t>16.2.</t>
  </si>
  <si>
    <t>Alertnessin ja Sense Ambushin boonus pysähtyy rankkiin 30. Ei siis kannata ostaa enempää rankkeja näihin.</t>
  </si>
  <si>
    <t>16.3.</t>
  </si>
  <si>
    <t>Temporary Stattien ”sweet spot” on aina joka kymmenyksen 4. luku. Tällöin potti nousee eniten. Esim. 24, 34, 44, 54, 64, 74, 84 ja 94.</t>
  </si>
  <si>
    <t>Name:</t>
  </si>
  <si>
    <t>Nessa</t>
  </si>
  <si>
    <t>Languages</t>
  </si>
  <si>
    <t>Speak</t>
  </si>
  <si>
    <t>Write</t>
  </si>
  <si>
    <t>Race:</t>
  </si>
  <si>
    <t>Beijabar</t>
  </si>
  <si>
    <t>Height:</t>
  </si>
  <si>
    <t>m</t>
  </si>
  <si>
    <t>BMI:</t>
  </si>
  <si>
    <t>Sorcerer</t>
  </si>
  <si>
    <t>Weight:</t>
  </si>
  <si>
    <t>kg</t>
  </si>
  <si>
    <t>Build:</t>
  </si>
  <si>
    <t>Talent Points</t>
  </si>
  <si>
    <t>Eyes:</t>
  </si>
  <si>
    <t>Pituus</t>
  </si>
  <si>
    <t>avoin d100</t>
  </si>
  <si>
    <t>Age:</t>
  </si>
  <si>
    <t>Hair:</t>
  </si>
  <si>
    <t>Paino</t>
  </si>
  <si>
    <t>suljettu d100, siis väliltä 1-100</t>
  </si>
  <si>
    <t>Appearance</t>
  </si>
  <si>
    <t>Skin:</t>
  </si>
  <si>
    <t>Social Status</t>
  </si>
  <si>
    <t>Recovery-x</t>
  </si>
  <si>
    <t xml:space="preserve"> times normal</t>
  </si>
  <si>
    <t>Alignment:</t>
  </si>
  <si>
    <t>Chaotic Neutral</t>
  </si>
  <si>
    <t>Statistics:</t>
  </si>
  <si>
    <t>Temp.</t>
  </si>
  <si>
    <t>Pot.</t>
  </si>
  <si>
    <t>Dev.</t>
  </si>
  <si>
    <t>Normal</t>
  </si>
  <si>
    <t>Special</t>
  </si>
  <si>
    <t>Race</t>
  </si>
  <si>
    <t>Total</t>
  </si>
  <si>
    <t>Stat Cost</t>
  </si>
  <si>
    <t>Uusi Statti</t>
  </si>
  <si>
    <t>Nousu</t>
  </si>
  <si>
    <t>eka d10</t>
  </si>
  <si>
    <t>toka d10</t>
  </si>
  <si>
    <t>s</t>
  </si>
  <si>
    <t>l</t>
  </si>
  <si>
    <t>Constitution</t>
  </si>
  <si>
    <t>CO</t>
  </si>
  <si>
    <t>Agility</t>
  </si>
  <si>
    <t>AG</t>
  </si>
  <si>
    <t>Self-Discipline</t>
  </si>
  <si>
    <t>SD</t>
  </si>
  <si>
    <t>Memory</t>
  </si>
  <si>
    <t>ME</t>
  </si>
  <si>
    <t>Reasoning</t>
  </si>
  <si>
    <t>RE</t>
  </si>
  <si>
    <t>Strenght</t>
  </si>
  <si>
    <t>ST</t>
  </si>
  <si>
    <t>Quickness</t>
  </si>
  <si>
    <t>QU</t>
  </si>
  <si>
    <t>Presence</t>
  </si>
  <si>
    <t>PR</t>
  </si>
  <si>
    <t>Empathy</t>
  </si>
  <si>
    <t>EM</t>
  </si>
  <si>
    <t>Intuition</t>
  </si>
  <si>
    <t>IN</t>
  </si>
  <si>
    <t>Total DP:</t>
  </si>
  <si>
    <t>Resistances:</t>
  </si>
  <si>
    <t>Char.</t>
  </si>
  <si>
    <t>Item</t>
  </si>
  <si>
    <t>Stattipisteitä jäljellä</t>
  </si>
  <si>
    <t>Essence</t>
  </si>
  <si>
    <t>Channeling</t>
  </si>
  <si>
    <t>Mentalism</t>
  </si>
  <si>
    <t>Poison</t>
  </si>
  <si>
    <t>Disease</t>
  </si>
  <si>
    <t>Fear</t>
  </si>
  <si>
    <t>None</t>
  </si>
  <si>
    <t>Dead Weight (kg)</t>
  </si>
  <si>
    <t>Todo:</t>
  </si>
  <si>
    <t>Priority</t>
  </si>
  <si>
    <t>Priority #</t>
  </si>
  <si>
    <t>prio</t>
  </si>
  <si>
    <t>#</t>
  </si>
  <si>
    <t>Encumbrance Penalty</t>
  </si>
  <si>
    <t>ulkonäköstatin mukainen kuvaus (matriisi)</t>
  </si>
  <si>
    <t>high</t>
  </si>
  <si>
    <t>extremely high</t>
  </si>
  <si>
    <t>Hit Points</t>
  </si>
  <si>
    <t>Current</t>
  </si>
  <si>
    <t>-10 (25%)</t>
  </si>
  <si>
    <t>-20 (50%)</t>
  </si>
  <si>
    <t>-30 (75%)</t>
  </si>
  <si>
    <t>Hits/h</t>
  </si>
  <si>
    <t>Hits/3h sleep</t>
  </si>
  <si>
    <t>Hits/3h act</t>
  </si>
  <si>
    <t>iän mukainen kuvaus</t>
  </si>
  <si>
    <t>normal</t>
  </si>
  <si>
    <t>very high</t>
  </si>
  <si>
    <t>1</t>
  </si>
  <si>
    <t>low</t>
  </si>
  <si>
    <t>Exh. Points</t>
  </si>
  <si>
    <t>-5 (25%)</t>
  </si>
  <si>
    <t>-15 (50%)</t>
  </si>
  <si>
    <t>XH/min</t>
  </si>
  <si>
    <t>Xh/30m sleep</t>
  </si>
  <si>
    <t>Xh/30m act</t>
  </si>
  <si>
    <t>Non-magical armour</t>
  </si>
  <si>
    <t>Loppujen rotujen kyvyt, hobbyt, aseet jne</t>
  </si>
  <si>
    <t>Liikemiinus</t>
  </si>
  <si>
    <t>very low</t>
  </si>
  <si>
    <t>Power Points</t>
  </si>
  <si>
    <t>QU-miinus (panssari)</t>
  </si>
  <si>
    <t>Missile-penalty</t>
  </si>
  <si>
    <t>extremely low</t>
  </si>
  <si>
    <t>Magic Realm:</t>
  </si>
  <si>
    <t>Armour Description:</t>
  </si>
  <si>
    <t>AT</t>
  </si>
  <si>
    <t>Movement Rates (m)</t>
  </si>
  <si>
    <t>Multip.</t>
  </si>
  <si>
    <t>Difficulty</t>
  </si>
  <si>
    <t>Exhaustion</t>
  </si>
  <si>
    <t>Magical armour</t>
  </si>
  <si>
    <t>Walk</t>
  </si>
  <si>
    <t>x1</t>
  </si>
  <si>
    <t>1/60 rnd</t>
  </si>
  <si>
    <t>Shield DB</t>
  </si>
  <si>
    <t>Run</t>
  </si>
  <si>
    <t>x2</t>
  </si>
  <si>
    <t>1/2 rnd</t>
  </si>
  <si>
    <t>Magical DB (non-armour)</t>
  </si>
  <si>
    <t>Sprint</t>
  </si>
  <si>
    <t>x3</t>
  </si>
  <si>
    <t>2 rnd</t>
  </si>
  <si>
    <t>Magical DB (armour only)</t>
  </si>
  <si>
    <t>Fast Sprint</t>
  </si>
  <si>
    <t>x4</t>
  </si>
  <si>
    <t>6/rnd</t>
  </si>
  <si>
    <t>Other DB mods</t>
  </si>
  <si>
    <t>Dash</t>
  </si>
  <si>
    <t>x5</t>
  </si>
  <si>
    <t>50/rnd</t>
  </si>
  <si>
    <t>Lomakkeeseen</t>
  </si>
  <si>
    <t>Total DB</t>
  </si>
  <si>
    <t>Missile / Thrown Attack Penalty:</t>
  </si>
  <si>
    <t>Weapon</t>
  </si>
  <si>
    <t>OB</t>
  </si>
  <si>
    <t>Spell etc OB mods</t>
  </si>
  <si>
    <t>Total OB</t>
  </si>
  <si>
    <t>Init. (QU / SD)</t>
  </si>
  <si>
    <t>Common Init mods</t>
  </si>
  <si>
    <t>Total Init</t>
  </si>
  <si>
    <t>Notes:</t>
  </si>
  <si>
    <t>Init:</t>
  </si>
  <si>
    <t>-1 / -10 Encumbrance, -4 if taken more than 50% of hits</t>
  </si>
  <si>
    <t>-1 per 10% of max movement activity based on declared pace</t>
  </si>
  <si>
    <t>Points</t>
  </si>
  <si>
    <t>Flaw Type</t>
  </si>
  <si>
    <t>Absent-Minded</t>
  </si>
  <si>
    <t>Background &amp; Special Notes</t>
  </si>
  <si>
    <t>Soc. Status:</t>
  </si>
  <si>
    <t xml:space="preserve"> </t>
  </si>
  <si>
    <t>Money:</t>
  </si>
  <si>
    <t>Carried</t>
  </si>
  <si>
    <t>Hidden</t>
  </si>
  <si>
    <t>Stored</t>
  </si>
  <si>
    <t>Gems &amp; Jewellery:</t>
  </si>
  <si>
    <t>Value</t>
  </si>
  <si>
    <t>Talents (max 8)</t>
  </si>
  <si>
    <t>Talent Type</t>
  </si>
  <si>
    <t>Mithril</t>
  </si>
  <si>
    <t>Artist</t>
  </si>
  <si>
    <t>Gold</t>
  </si>
  <si>
    <t>Silver</t>
  </si>
  <si>
    <t>Bronze</t>
  </si>
  <si>
    <t>Copper</t>
  </si>
  <si>
    <t>Tin</t>
  </si>
  <si>
    <t>Talents:</t>
  </si>
  <si>
    <t>Flaws:</t>
  </si>
  <si>
    <t>Points left</t>
  </si>
  <si>
    <t>Herbs, Poisons, Enchanted Substances and their effects:</t>
  </si>
  <si>
    <t>AF</t>
  </si>
  <si>
    <t>Code</t>
  </si>
  <si>
    <t>Miscellaneous notes about places, items, people, creatures and everything else</t>
  </si>
  <si>
    <t>I &lt;3 Kuittaa</t>
  </si>
  <si>
    <t>always and</t>
  </si>
  <si>
    <t>forever</t>
  </si>
  <si>
    <t>Weight</t>
  </si>
  <si>
    <t>Location</t>
  </si>
  <si>
    <t>Adoles.</t>
  </si>
  <si>
    <t>Ranks /</t>
  </si>
  <si>
    <t>Cost</t>
  </si>
  <si>
    <t>DP Left</t>
  </si>
  <si>
    <t>KATSO TP-HINNAT</t>
  </si>
  <si>
    <t>Training Package</t>
  </si>
  <si>
    <t>Training Package 2</t>
  </si>
  <si>
    <t>Training Package 3</t>
  </si>
  <si>
    <t>Skill Category / Skill</t>
  </si>
  <si>
    <t>Ranks</t>
  </si>
  <si>
    <t>Bonus</t>
  </si>
  <si>
    <t>Stats</t>
  </si>
  <si>
    <t>Stat Bonus</t>
  </si>
  <si>
    <t>Prof.</t>
  </si>
  <si>
    <t>Everyman skills (racial)</t>
  </si>
  <si>
    <t>Bonuses &amp; Hobby Skills / ranks</t>
  </si>
  <si>
    <t>level</t>
  </si>
  <si>
    <t>ranks</t>
  </si>
  <si>
    <t>NETISTÄ!!!</t>
  </si>
  <si>
    <t>Laborer (V), CR</t>
  </si>
  <si>
    <t>Adventurer (L)</t>
  </si>
  <si>
    <t>Zealot (L)</t>
  </si>
  <si>
    <t>Armour: Heavy</t>
  </si>
  <si>
    <t>St/Ag</t>
  </si>
  <si>
    <t>1 rankilla 2 rankkia</t>
  </si>
  <si>
    <t>Plate</t>
  </si>
  <si>
    <t>St</t>
  </si>
  <si>
    <t>Starting Money</t>
  </si>
  <si>
    <t xml:space="preserve">Armour: Light </t>
  </si>
  <si>
    <t>Ag/St</t>
  </si>
  <si>
    <t>Soft Leather</t>
  </si>
  <si>
    <t>Ag</t>
  </si>
  <si>
    <t>Hard Leather</t>
  </si>
  <si>
    <t>Armour: Medium</t>
  </si>
  <si>
    <t>Chain</t>
  </si>
  <si>
    <t>Artistic: Active</t>
  </si>
  <si>
    <t>Pr/Em</t>
  </si>
  <si>
    <t>Acting</t>
  </si>
  <si>
    <t>Dancing</t>
  </si>
  <si>
    <t>Mimery</t>
  </si>
  <si>
    <t>Mimicry</t>
  </si>
  <si>
    <t>Me</t>
  </si>
  <si>
    <t>Play Instrument:</t>
  </si>
  <si>
    <t>Poetic Improvisation</t>
  </si>
  <si>
    <t>Everyman skills (professional)</t>
  </si>
  <si>
    <t>Singing</t>
  </si>
  <si>
    <t>Tale Telling</t>
  </si>
  <si>
    <t>Ventriloquism</t>
  </si>
  <si>
    <t>Artistic: Passive</t>
  </si>
  <si>
    <t>Em/In</t>
  </si>
  <si>
    <t>Music</t>
  </si>
  <si>
    <t>Pr</t>
  </si>
  <si>
    <t>Painting</t>
  </si>
  <si>
    <t>Category or Skill</t>
  </si>
  <si>
    <t>Poetry</t>
  </si>
  <si>
    <t>Re</t>
  </si>
  <si>
    <t>Sculpting</t>
  </si>
  <si>
    <t>Athletics: Brawn</t>
  </si>
  <si>
    <t>St/Co</t>
  </si>
  <si>
    <t>Athletic Games (Brawn)</t>
  </si>
  <si>
    <t>Jumping</t>
  </si>
  <si>
    <t>Power-Striking</t>
  </si>
  <si>
    <t>Power-Throwing</t>
  </si>
  <si>
    <t>Weight-Lifting</t>
  </si>
  <si>
    <t>Athletics: Endurance</t>
  </si>
  <si>
    <t>Co/Ag</t>
  </si>
  <si>
    <t>Restricted skills (racial)</t>
  </si>
  <si>
    <t>Athletic Games (Endurance)</t>
  </si>
  <si>
    <t>Co</t>
  </si>
  <si>
    <t>2 rankilla 1 rankki</t>
  </si>
  <si>
    <t>Distance Running</t>
  </si>
  <si>
    <t>Rowing</t>
  </si>
  <si>
    <t>Scaling</t>
  </si>
  <si>
    <t>Sprinting</t>
  </si>
  <si>
    <t>Qu</t>
  </si>
  <si>
    <t>Swimming</t>
  </si>
  <si>
    <t>Restricted Skills (professional)</t>
  </si>
  <si>
    <t>Athletics: Gymnastics</t>
  </si>
  <si>
    <t>Ag/Qu</t>
  </si>
  <si>
    <t>Acrobatics</t>
  </si>
  <si>
    <t>Athletic Games (Gymnastic)</t>
  </si>
  <si>
    <t>Climbing</t>
  </si>
  <si>
    <t>Contortions</t>
  </si>
  <si>
    <t>Occupational (professional)</t>
  </si>
  <si>
    <t>Diving</t>
  </si>
  <si>
    <t>1 rankilla 3 rankkia</t>
  </si>
  <si>
    <t>Flying/Gliding</t>
  </si>
  <si>
    <t>In</t>
  </si>
  <si>
    <t>Juggling</t>
  </si>
  <si>
    <t>Professional Qualifier</t>
  </si>
  <si>
    <t>Pole-Vaulting</t>
  </si>
  <si>
    <t>Lifestyle Skill(s)</t>
  </si>
  <si>
    <t>Rappelling</t>
  </si>
  <si>
    <t>Stat Gains</t>
  </si>
  <si>
    <t>Skating</t>
  </si>
  <si>
    <t>Skiing</t>
  </si>
  <si>
    <t>Stilt-Walking</t>
  </si>
  <si>
    <t>Surfing</t>
  </si>
  <si>
    <t>Tightrope-Walking</t>
  </si>
  <si>
    <t>Tumbling</t>
  </si>
  <si>
    <t xml:space="preserve">Awareness: Perception </t>
  </si>
  <si>
    <t>In/SD</t>
  </si>
  <si>
    <t>Alertness</t>
  </si>
  <si>
    <t>Sense Ambush</t>
  </si>
  <si>
    <t>Em</t>
  </si>
  <si>
    <t>Awareness: Searching</t>
  </si>
  <si>
    <t>In/Re</t>
  </si>
  <si>
    <t>Detect Traps</t>
  </si>
  <si>
    <t>Lie Perception</t>
  </si>
  <si>
    <t>Locate Hidden</t>
  </si>
  <si>
    <t>Observation</t>
  </si>
  <si>
    <t>Poison Perception</t>
  </si>
  <si>
    <t>Reading Tracks</t>
  </si>
  <si>
    <t>Surveillance</t>
  </si>
  <si>
    <t>Tracking</t>
  </si>
  <si>
    <t>Awareness: Senses</t>
  </si>
  <si>
    <t>Combat Awareness (situat.)</t>
  </si>
  <si>
    <t>Direction Sense</t>
  </si>
  <si>
    <t>R</t>
  </si>
  <si>
    <t>Reality Awareness</t>
  </si>
  <si>
    <t>Sense Awareness: Hearing</t>
  </si>
  <si>
    <t>Sense Awareness: Sight</t>
  </si>
  <si>
    <t>Sense Awareness: Smell</t>
  </si>
  <si>
    <t xml:space="preserve">Sense Awareness: Taste </t>
  </si>
  <si>
    <t>Sense Awareness: Touch</t>
  </si>
  <si>
    <t>Scouting Awareness (situat.)</t>
  </si>
  <si>
    <t>Sleep Awareness (situat.)</t>
  </si>
  <si>
    <t>Spatial Location Awareness</t>
  </si>
  <si>
    <t>Time Sense</t>
  </si>
  <si>
    <t>Body Development</t>
  </si>
  <si>
    <t>Co/SD</t>
  </si>
  <si>
    <t xml:space="preserve">Combat Maneuvers </t>
  </si>
  <si>
    <t>Adrenal Deflecting</t>
  </si>
  <si>
    <t>Mounted Combat</t>
  </si>
  <si>
    <t>Quickdraw</t>
  </si>
  <si>
    <t>Reverse Stroke</t>
  </si>
  <si>
    <t>Subdual</t>
  </si>
  <si>
    <t>Swashbuckling</t>
  </si>
  <si>
    <t>Tumbling Evasion</t>
  </si>
  <si>
    <t>Two-Weapon Fighting</t>
  </si>
  <si>
    <t>Communications</t>
  </si>
  <si>
    <t>Re/Me</t>
  </si>
  <si>
    <t>SPK</t>
  </si>
  <si>
    <t>WRI</t>
  </si>
  <si>
    <t>Distribute to languages</t>
  </si>
  <si>
    <t>Lip Reading</t>
  </si>
  <si>
    <t>Magical Languages</t>
  </si>
  <si>
    <t>Signaling</t>
  </si>
  <si>
    <t xml:space="preserve">Crafts </t>
  </si>
  <si>
    <t>Ag/Me</t>
  </si>
  <si>
    <t>Cooking</t>
  </si>
  <si>
    <t>Drafting</t>
  </si>
  <si>
    <t>Embroidery</t>
  </si>
  <si>
    <t>Fletching</t>
  </si>
  <si>
    <t>Horticulture</t>
  </si>
  <si>
    <t>Leather-Crafts (general)</t>
  </si>
  <si>
    <t>_____________________</t>
  </si>
  <si>
    <t>Masonry</t>
  </si>
  <si>
    <t>Metal-Crafts (general)</t>
  </si>
  <si>
    <t>Rope Mastery</t>
  </si>
  <si>
    <t>Scribing</t>
  </si>
  <si>
    <t>Service</t>
  </si>
  <si>
    <t>Sewing/Weaving</t>
  </si>
  <si>
    <t>Skinning</t>
  </si>
  <si>
    <t>Stone-Crafts (general)</t>
  </si>
  <si>
    <t>Wood-Crafts (general)</t>
  </si>
  <si>
    <t>Directed Spells</t>
  </si>
  <si>
    <t>Ag/SD</t>
  </si>
  <si>
    <t>Directed Spell (per spell)</t>
  </si>
  <si>
    <t xml:space="preserve">Influence </t>
  </si>
  <si>
    <t>Bribery</t>
  </si>
  <si>
    <t>Diplomacy</t>
  </si>
  <si>
    <t>Duping</t>
  </si>
  <si>
    <t>Interrogation</t>
  </si>
  <si>
    <t>Leadership</t>
  </si>
  <si>
    <t>Propaganda</t>
  </si>
  <si>
    <t>Public Speaking</t>
  </si>
  <si>
    <t>Seduction</t>
  </si>
  <si>
    <t>Trading</t>
  </si>
  <si>
    <t>Lore: General</t>
  </si>
  <si>
    <t>Me/Re</t>
  </si>
  <si>
    <t>Culture Lore (general)</t>
  </si>
  <si>
    <t>Culture Lore (own)</t>
  </si>
  <si>
    <t>Fauna Lore</t>
  </si>
  <si>
    <t>Flora Lore</t>
  </si>
  <si>
    <t>Heraldry</t>
  </si>
  <si>
    <t>History (general)</t>
  </si>
  <si>
    <t xml:space="preserve">History: </t>
  </si>
  <si>
    <t>Philosophy</t>
  </si>
  <si>
    <t>Region Lore</t>
  </si>
  <si>
    <t>Religion (general)</t>
  </si>
  <si>
    <t xml:space="preserve">Religion: </t>
  </si>
  <si>
    <t xml:space="preserve">Lore: Magical </t>
  </si>
  <si>
    <t>Artifact Lore</t>
  </si>
  <si>
    <t>Spell Lore</t>
  </si>
  <si>
    <t>Undead Lore</t>
  </si>
  <si>
    <t>Warding Lore</t>
  </si>
  <si>
    <t>Lore: Obscure</t>
  </si>
  <si>
    <t>Demon/Devil Lore</t>
  </si>
  <si>
    <t>Dragon Lore</t>
  </si>
  <si>
    <t>Elemental Lore</t>
  </si>
  <si>
    <t>Xeno-Lore</t>
  </si>
  <si>
    <t xml:space="preserve">Lore: Technical </t>
  </si>
  <si>
    <t>Herb Lore / Prepare Herbs</t>
  </si>
  <si>
    <t>Lock Lore</t>
  </si>
  <si>
    <t>Metal Lore</t>
  </si>
  <si>
    <t>Poison Lore / Prepare Poison</t>
  </si>
  <si>
    <t>Stone Lore</t>
  </si>
  <si>
    <t>Trading Lore</t>
  </si>
  <si>
    <t xml:space="preserve">Martial Arts: Striking </t>
  </si>
  <si>
    <t>Boxing</t>
  </si>
  <si>
    <t>Strikes 4</t>
  </si>
  <si>
    <t>Strikes 3</t>
  </si>
  <si>
    <t>Strikes 2</t>
  </si>
  <si>
    <t>Strikes 1</t>
  </si>
  <si>
    <t>Tackling</t>
  </si>
  <si>
    <t>Martial Arts: Sweeps</t>
  </si>
  <si>
    <t>Blocking</t>
  </si>
  <si>
    <t>Sweeps 4</t>
  </si>
  <si>
    <t>Sweeps 3</t>
  </si>
  <si>
    <t>Sweeps 2</t>
  </si>
  <si>
    <t>Sweeps 1</t>
  </si>
  <si>
    <t>Wrestling</t>
  </si>
  <si>
    <t>Outdoor: Animal</t>
  </si>
  <si>
    <t>Em/Ag</t>
  </si>
  <si>
    <t>Animal Healing</t>
  </si>
  <si>
    <t>Animal Mastery</t>
  </si>
  <si>
    <t>Animal Training / Handling</t>
  </si>
  <si>
    <t>Driving</t>
  </si>
  <si>
    <t>Riding</t>
  </si>
  <si>
    <t xml:space="preserve">Outdoor: Environmental </t>
  </si>
  <si>
    <t>SD/In</t>
  </si>
  <si>
    <t>Caving</t>
  </si>
  <si>
    <t>Foraging (general)</t>
  </si>
  <si>
    <t xml:space="preserve">Foraging: </t>
  </si>
  <si>
    <t>Hunting / Trapping (outdoor)</t>
  </si>
  <si>
    <t>Star-Gazing</t>
  </si>
  <si>
    <t>Survival (general)</t>
  </si>
  <si>
    <t>Survival:</t>
  </si>
  <si>
    <t>Weather Watching</t>
  </si>
  <si>
    <t>Power Awareness</t>
  </si>
  <si>
    <t>Attunement</t>
  </si>
  <si>
    <t>Divination</t>
  </si>
  <si>
    <t>Power Perception</t>
  </si>
  <si>
    <t>Read Runes</t>
  </si>
  <si>
    <t>Power Manipulations</t>
  </si>
  <si>
    <t>Magic Ritual</t>
  </si>
  <si>
    <t xml:space="preserve">Spell Mastery: </t>
  </si>
  <si>
    <t>Transcend Armour</t>
  </si>
  <si>
    <t>Power Point Development</t>
  </si>
  <si>
    <t xml:space="preserve">Science/Analytic: Basic </t>
  </si>
  <si>
    <t>Basic Math</t>
  </si>
  <si>
    <t>Research</t>
  </si>
  <si>
    <t>Science/Analytic: Specialized</t>
  </si>
  <si>
    <t>Advanced Math</t>
  </si>
  <si>
    <t>Anthropology</t>
  </si>
  <si>
    <t>Alchemy</t>
  </si>
  <si>
    <t>Astronomy</t>
  </si>
  <si>
    <t>Biochemistry</t>
  </si>
  <si>
    <t>Psychology</t>
  </si>
  <si>
    <t xml:space="preserve">Self Control </t>
  </si>
  <si>
    <t>SD/Pr</t>
  </si>
  <si>
    <t>Adrenal Concentration</t>
  </si>
  <si>
    <t>Adrenal Landing</t>
  </si>
  <si>
    <t>Adrenal Leaping (Jumping)</t>
  </si>
  <si>
    <t>Adrenal QuickDraw</t>
  </si>
  <si>
    <t>Adrenal Stabilization</t>
  </si>
  <si>
    <t>Adrenal Strength</t>
  </si>
  <si>
    <t>Cleansing Trance</t>
  </si>
  <si>
    <t>Control Lycanthropy</t>
  </si>
  <si>
    <t>Death Trance</t>
  </si>
  <si>
    <t>Frenzy</t>
  </si>
  <si>
    <t>Healing Trance</t>
  </si>
  <si>
    <t>Meditation</t>
  </si>
  <si>
    <t>Mnemonics</t>
  </si>
  <si>
    <t>Sleep Trance</t>
  </si>
  <si>
    <t>Stunned Maneuv. / Removal</t>
  </si>
  <si>
    <t>Special Attacks</t>
  </si>
  <si>
    <t>Disarm _______________</t>
  </si>
  <si>
    <t>Jousting</t>
  </si>
  <si>
    <t>Special Defenses</t>
  </si>
  <si>
    <t>Adrenal Defense</t>
  </si>
  <si>
    <t>Adrenal Toughness</t>
  </si>
  <si>
    <t xml:space="preserve">Subterfuge: Attack </t>
  </si>
  <si>
    <t>Ambush</t>
  </si>
  <si>
    <t>Silent Attack</t>
  </si>
  <si>
    <t>Subterfuge: Mechanics</t>
  </si>
  <si>
    <t>In/Ag</t>
  </si>
  <si>
    <t>Camouflage</t>
  </si>
  <si>
    <t>Disarming Traps</t>
  </si>
  <si>
    <t>Disguise</t>
  </si>
  <si>
    <t>Counterfeiting</t>
  </si>
  <si>
    <t>Forgery</t>
  </si>
  <si>
    <t>Hiding Items</t>
  </si>
  <si>
    <t>Picking Locks</t>
  </si>
  <si>
    <t>Setting/Building Traps (indoor)</t>
  </si>
  <si>
    <t>Using/Removing Poison</t>
  </si>
  <si>
    <t>Subterfuge: Stealth</t>
  </si>
  <si>
    <t>Hiding</t>
  </si>
  <si>
    <t>Picking Pockets</t>
  </si>
  <si>
    <t>Stalking</t>
  </si>
  <si>
    <t>Trickery</t>
  </si>
  <si>
    <t>Technical/Trade: General</t>
  </si>
  <si>
    <t>Begging</t>
  </si>
  <si>
    <t>First Aid</t>
  </si>
  <si>
    <t>Gambling</t>
  </si>
  <si>
    <t>Mapping / Orienteering</t>
  </si>
  <si>
    <t>Operating Himolentolaite</t>
  </si>
  <si>
    <t>Sailing</t>
  </si>
  <si>
    <t>Tactical Games</t>
  </si>
  <si>
    <t>Using Prepared Herbs</t>
  </si>
  <si>
    <t>Technical/Trade: Professional</t>
  </si>
  <si>
    <t>Architecture</t>
  </si>
  <si>
    <t>Diagnostics</t>
  </si>
  <si>
    <t>Dowsing</t>
  </si>
  <si>
    <t>Drowsing</t>
  </si>
  <si>
    <t>Engineering</t>
  </si>
  <si>
    <t>Machination</t>
  </si>
  <si>
    <t>Military Organization</t>
  </si>
  <si>
    <t>Mining</t>
  </si>
  <si>
    <t>Sanity Healing</t>
  </si>
  <si>
    <t>Second Aid</t>
  </si>
  <si>
    <t>Surgery</t>
  </si>
  <si>
    <t xml:space="preserve">Technical/Trade: Vocational </t>
  </si>
  <si>
    <t>Me/In</t>
  </si>
  <si>
    <t>Appraisal</t>
  </si>
  <si>
    <t>Boat Pilot</t>
  </si>
  <si>
    <t>Cartography / Navigation</t>
  </si>
  <si>
    <t>Evaluate Armour</t>
  </si>
  <si>
    <t>Evaluate Metal</t>
  </si>
  <si>
    <t>Evaluate Stone</t>
  </si>
  <si>
    <t>Evaluate Weapon</t>
  </si>
  <si>
    <t>Gimmickry</t>
  </si>
  <si>
    <t>Hypnosis</t>
  </si>
  <si>
    <t>Midwifery</t>
  </si>
  <si>
    <t>Siege Engineering</t>
  </si>
  <si>
    <t xml:space="preserve">Tactics </t>
  </si>
  <si>
    <t xml:space="preserve">Urban </t>
  </si>
  <si>
    <t>In/Pr</t>
  </si>
  <si>
    <t>Contacting</t>
  </si>
  <si>
    <t>Mingling</t>
  </si>
  <si>
    <t>Scrounging</t>
  </si>
  <si>
    <t>Streetwise</t>
  </si>
  <si>
    <t xml:space="preserve">Weapon: 1-H Krush </t>
  </si>
  <si>
    <t>Weapon CAT 1</t>
  </si>
  <si>
    <t>Starting Weapon choices</t>
  </si>
  <si>
    <t>1-H Krush</t>
  </si>
  <si>
    <t>Weapon skill 1</t>
  </si>
  <si>
    <t>Weapon CAT 2</t>
  </si>
  <si>
    <t xml:space="preserve">Weapon: 1-H Edged </t>
  </si>
  <si>
    <t>Weapon skill 2</t>
  </si>
  <si>
    <t>Weapon CAT 3</t>
  </si>
  <si>
    <t>Weapon skill 3</t>
  </si>
  <si>
    <t xml:space="preserve">Weapon: 2-Handed </t>
  </si>
  <si>
    <t>2-Handed</t>
  </si>
  <si>
    <t>Weapon CAT 4</t>
  </si>
  <si>
    <t>Weapon skill 4</t>
  </si>
  <si>
    <t>Weapon: Missile</t>
  </si>
  <si>
    <t>Weapon CAT 5</t>
  </si>
  <si>
    <t>Missile</t>
  </si>
  <si>
    <t>Weapon skill 5</t>
  </si>
  <si>
    <t>Weapon CAT 6</t>
  </si>
  <si>
    <t xml:space="preserve">Weapon: Missile Artillery </t>
  </si>
  <si>
    <t>Weapon skill 6</t>
  </si>
  <si>
    <t>Artillery</t>
  </si>
  <si>
    <t>Weapon: Pole Arms</t>
  </si>
  <si>
    <t>Pole Arm</t>
  </si>
  <si>
    <t xml:space="preserve">Weapon: Thrown </t>
  </si>
  <si>
    <t>Thrown</t>
  </si>
  <si>
    <t>Slaying Techniques</t>
  </si>
  <si>
    <t>Ambush 1</t>
  </si>
  <si>
    <t>Ambush 2</t>
  </si>
  <si>
    <t>Dragon Lore 1</t>
  </si>
  <si>
    <t>Spells: Own Realm Open</t>
  </si>
  <si>
    <t>Dragon Lore 2</t>
  </si>
  <si>
    <t>Spells: Own Realm Closed</t>
  </si>
  <si>
    <t>Spells: Own Realm Own Base</t>
  </si>
  <si>
    <t>Spells: Own Realm Other Base</t>
  </si>
  <si>
    <t>Spells: Own Realm Training Package</t>
  </si>
  <si>
    <t>Training Package List</t>
  </si>
  <si>
    <t>Spells: Other Realm Training Package</t>
  </si>
  <si>
    <t>Spells: Arcane Other Base</t>
  </si>
  <si>
    <t>Arcane Other Base List</t>
  </si>
  <si>
    <t>Spells: Arcane Open</t>
  </si>
  <si>
    <t>Spells: Arcane Closed</t>
  </si>
  <si>
    <t>Spells: Other Realm Open</t>
  </si>
  <si>
    <t>Spells: Other Realm Closed</t>
  </si>
  <si>
    <t>Spells: Other Realm Base</t>
  </si>
  <si>
    <t>TP 1 Cost</t>
  </si>
  <si>
    <t>--</t>
  </si>
  <si>
    <t>TP 2 Cost</t>
  </si>
  <si>
    <t>TP 3 Cost</t>
  </si>
  <si>
    <t xml:space="preserve">Total Cost of Ranks </t>
  </si>
  <si>
    <t>Stat</t>
  </si>
  <si>
    <t>Total Number of Ranks</t>
  </si>
  <si>
    <t>Standard Category Progression</t>
  </si>
  <si>
    <t>Standard Skill Progression</t>
  </si>
  <si>
    <t>Spell Skill Progression</t>
  </si>
  <si>
    <t>Combined Skill Progression</t>
  </si>
  <si>
    <t>Body Development Progression</t>
  </si>
  <si>
    <t>Power Point Progression</t>
  </si>
  <si>
    <t>Awareness Skill Progression</t>
  </si>
  <si>
    <t>EXP</t>
  </si>
  <si>
    <t>Level</t>
  </si>
  <si>
    <t>Skill Costs</t>
  </si>
  <si>
    <t>Fighter</t>
  </si>
  <si>
    <t>Thief</t>
  </si>
  <si>
    <t>Rogue</t>
  </si>
  <si>
    <t>Warrior Monk</t>
  </si>
  <si>
    <t>Layman</t>
  </si>
  <si>
    <t>Magician</t>
  </si>
  <si>
    <t>Illusionist</t>
  </si>
  <si>
    <t>Cleric</t>
  </si>
  <si>
    <t>Animist</t>
  </si>
  <si>
    <t>Mentalist</t>
  </si>
  <si>
    <t>Lay Healer</t>
  </si>
  <si>
    <t>Healer (ei käytössä)</t>
  </si>
  <si>
    <t>Mystic</t>
  </si>
  <si>
    <t>Ranger</t>
  </si>
  <si>
    <t>Paladin</t>
  </si>
  <si>
    <t>Monk</t>
  </si>
  <si>
    <t>Dabbler</t>
  </si>
  <si>
    <t>Bard</t>
  </si>
  <si>
    <t>Magent</t>
  </si>
  <si>
    <t>Arcanist (AC)</t>
  </si>
  <si>
    <t>Wizard (AC)</t>
  </si>
  <si>
    <t>Chaotic (AC)</t>
  </si>
  <si>
    <t>Magehunter (AC)</t>
  </si>
  <si>
    <t>Runemage (EC)</t>
  </si>
  <si>
    <t>Mana Molder (EC)</t>
  </si>
  <si>
    <t>Warrior Mage (EC)</t>
  </si>
  <si>
    <t>Arms Master (MC)</t>
  </si>
  <si>
    <t>Enchanter (MC)</t>
  </si>
  <si>
    <t>Seer (MC)</t>
  </si>
  <si>
    <t>Astrologer (MC)</t>
  </si>
  <si>
    <t>Summoner (CC)</t>
  </si>
  <si>
    <t>Warlock (CC)</t>
  </si>
  <si>
    <t>Mythic (CC)</t>
  </si>
  <si>
    <t>Priest of Agriculture</t>
  </si>
  <si>
    <t>Priest of Ancestors</t>
  </si>
  <si>
    <t>Priest of Animals</t>
  </si>
  <si>
    <t>Priest of Arts</t>
  </si>
  <si>
    <t>Priest of Birth, Children</t>
  </si>
  <si>
    <t>Priest of Community</t>
  </si>
  <si>
    <t>Priest of Competition</t>
  </si>
  <si>
    <t>Priest of Crafts</t>
  </si>
  <si>
    <t>Priest of Culture</t>
  </si>
  <si>
    <t>Priest of Darkness, Night</t>
  </si>
  <si>
    <t>Priest of Dawn</t>
  </si>
  <si>
    <t>Priest of Death</t>
  </si>
  <si>
    <t>Priest of Disease</t>
  </si>
  <si>
    <t>Priest of Earth</t>
  </si>
  <si>
    <t>Priest of Fate, Destiny</t>
  </si>
  <si>
    <t>Priest of Fertility</t>
  </si>
  <si>
    <t>Priest of Fire</t>
  </si>
  <si>
    <t>Priest of Fortune, Luck</t>
  </si>
  <si>
    <t>Priest of Guardianship</t>
  </si>
  <si>
    <t>Priest of Healing</t>
  </si>
  <si>
    <t>Priest of Hunting</t>
  </si>
  <si>
    <t>Priest of Justice, Revenge</t>
  </si>
  <si>
    <t>Priest of Light</t>
  </si>
  <si>
    <t>Priest of Lightning</t>
  </si>
  <si>
    <t>Priest of Literature</t>
  </si>
  <si>
    <t>Priest of Love</t>
  </si>
  <si>
    <t>Priest of Magic</t>
  </si>
  <si>
    <t>Priest of Marriage</t>
  </si>
  <si>
    <t>Priest of Messengers</t>
  </si>
  <si>
    <t>Priest of Metalwork</t>
  </si>
  <si>
    <t>Priest of Mischief/Trickery</t>
  </si>
  <si>
    <t>Priest of Moon</t>
  </si>
  <si>
    <t>Priest of Music, Dance</t>
  </si>
  <si>
    <t>Priest of Nature</t>
  </si>
  <si>
    <t>Priest of Ocean, Rivers</t>
  </si>
  <si>
    <t>Priest of Oracles</t>
  </si>
  <si>
    <t>Priest of Peace</t>
  </si>
  <si>
    <t>Priest of Prosperity</t>
  </si>
  <si>
    <t>Priest of Redemption</t>
  </si>
  <si>
    <t>Priest of Rulership</t>
  </si>
  <si>
    <t>Priest of Seasons</t>
  </si>
  <si>
    <t>Priest of Sky, Weather</t>
  </si>
  <si>
    <t>Priest of Strength</t>
  </si>
  <si>
    <t>Priest of Sun</t>
  </si>
  <si>
    <t>Priest of Thunder</t>
  </si>
  <si>
    <t>Priest of Time</t>
  </si>
  <si>
    <t>Priest of Trade</t>
  </si>
  <si>
    <t>Priest of Vegetation</t>
  </si>
  <si>
    <t>Priest of War</t>
  </si>
  <si>
    <t>Priest of Wind</t>
  </si>
  <si>
    <t>Priest of Wisdom</t>
  </si>
  <si>
    <t>Barbarian (FRP)</t>
  </si>
  <si>
    <t>Outrider (FRP)</t>
  </si>
  <si>
    <t>Sage (FRP)</t>
  </si>
  <si>
    <t>Swashbuckler (FRP)</t>
  </si>
  <si>
    <t>Drughân (Wose only)</t>
  </si>
  <si>
    <t>Vracara (Variag only)</t>
  </si>
  <si>
    <t>Kekhavra (Variag only)</t>
  </si>
  <si>
    <t>Barbarian (MERP)</t>
  </si>
  <si>
    <t>Alchemist-Ess</t>
  </si>
  <si>
    <t>Alchemist-Chan</t>
  </si>
  <si>
    <t>Alchemist-Ment</t>
  </si>
  <si>
    <t>NEW PROF</t>
  </si>
  <si>
    <t>Sd</t>
  </si>
  <si>
    <t>Ess</t>
  </si>
  <si>
    <t>Chan</t>
  </si>
  <si>
    <t>Ment</t>
  </si>
  <si>
    <t>Pois</t>
  </si>
  <si>
    <t>Dis</t>
  </si>
  <si>
    <t>Soul D</t>
  </si>
  <si>
    <t>Bcgr</t>
  </si>
  <si>
    <t>RecX</t>
  </si>
  <si>
    <t>Chan/Ment</t>
  </si>
  <si>
    <t>Ess/ment</t>
  </si>
  <si>
    <t>Ess/Chan</t>
  </si>
  <si>
    <t>Arcane</t>
  </si>
  <si>
    <t>Arhunerim / Hillmen</t>
  </si>
  <si>
    <t>Common man</t>
  </si>
  <si>
    <t>High Men</t>
  </si>
  <si>
    <t>Corsair</t>
  </si>
  <si>
    <t>Dwarf</t>
  </si>
  <si>
    <t>Noldo</t>
  </si>
  <si>
    <t>Silvan</t>
  </si>
  <si>
    <t>Sinda</t>
  </si>
  <si>
    <t>Half Elf</t>
  </si>
  <si>
    <t>Eriedain</t>
  </si>
  <si>
    <t>Bear tribes</t>
  </si>
  <si>
    <t>Eriedain / Northman</t>
  </si>
  <si>
    <t>Haradrim, N, Nomads</t>
  </si>
  <si>
    <t>Haradrim, S, Nomads</t>
  </si>
  <si>
    <t>Halfling</t>
  </si>
  <si>
    <t>Lossoth</t>
  </si>
  <si>
    <t>Talatherim</t>
  </si>
  <si>
    <t>Chey</t>
  </si>
  <si>
    <t>Womaw</t>
  </si>
  <si>
    <t>Urd</t>
  </si>
  <si>
    <t>Umli</t>
  </si>
  <si>
    <t>Woses</t>
  </si>
  <si>
    <t>Common Orc</t>
  </si>
  <si>
    <t>Uruk-Hai</t>
  </si>
  <si>
    <t>Half Orcs</t>
  </si>
  <si>
    <t>Drow</t>
  </si>
  <si>
    <t>Trolls</t>
  </si>
  <si>
    <t>(1)</t>
  </si>
  <si>
    <t>(2)</t>
  </si>
  <si>
    <t>(3)</t>
  </si>
  <si>
    <t>(4)</t>
  </si>
  <si>
    <t>(5)</t>
  </si>
  <si>
    <t>(6)</t>
  </si>
  <si>
    <t>(7)</t>
  </si>
  <si>
    <t>(8)</t>
  </si>
  <si>
    <t>(9)</t>
  </si>
  <si>
    <t>2/2/2</t>
  </si>
  <si>
    <t>4/4/4</t>
  </si>
  <si>
    <t>3/3/3</t>
  </si>
  <si>
    <t>10</t>
  </si>
  <si>
    <t>11</t>
  </si>
  <si>
    <t>7/7/7</t>
  </si>
  <si>
    <t>5/5/5</t>
  </si>
  <si>
    <t>6/6/6</t>
  </si>
  <si>
    <t>8/8/8</t>
  </si>
  <si>
    <t>High Man</t>
  </si>
  <si>
    <t>Arthedain</t>
  </si>
  <si>
    <t>Dunlending</t>
  </si>
  <si>
    <t>Hillman</t>
  </si>
  <si>
    <t>Rural Man</t>
  </si>
  <si>
    <t>Urban Common Man</t>
  </si>
  <si>
    <t>Urban High Man</t>
  </si>
  <si>
    <t>Dunadan</t>
  </si>
  <si>
    <t>Gondrian</t>
  </si>
  <si>
    <t>Black Numenorean</t>
  </si>
  <si>
    <t>Umbarean</t>
  </si>
  <si>
    <t>Cardolan</t>
  </si>
  <si>
    <t>Rhudaurian</t>
  </si>
  <si>
    <t>Eothraim</t>
  </si>
  <si>
    <t>Dorwinadan</t>
  </si>
  <si>
    <t>Northman</t>
  </si>
  <si>
    <t>Gramuz</t>
  </si>
  <si>
    <t>Lake-man</t>
  </si>
  <si>
    <t>Dale-folk</t>
  </si>
  <si>
    <t>Riverman</t>
  </si>
  <si>
    <t>Woodman</t>
  </si>
  <si>
    <t>Esterav</t>
  </si>
  <si>
    <t>Haradrim North</t>
  </si>
  <si>
    <t>Haradrim South</t>
  </si>
  <si>
    <t>Harfoot</t>
  </si>
  <si>
    <t>Stoor</t>
  </si>
  <si>
    <t>Fallohide</t>
  </si>
  <si>
    <t>Lumimies</t>
  </si>
  <si>
    <t>Jäämies</t>
  </si>
  <si>
    <t>Merimetsästäjä</t>
  </si>
  <si>
    <t>Variag</t>
  </si>
  <si>
    <t>Asdriag</t>
  </si>
  <si>
    <t>Brygath</t>
  </si>
  <si>
    <t>Easterling</t>
  </si>
  <si>
    <t>Wainrider</t>
  </si>
  <si>
    <t>Gathmarig</t>
  </si>
  <si>
    <t>Sagath</t>
  </si>
  <si>
    <t>Kykurian</t>
  </si>
  <si>
    <t>Odhriag</t>
  </si>
  <si>
    <t>Wose</t>
  </si>
  <si>
    <t>Drow Male</t>
  </si>
  <si>
    <t>Drow Female</t>
  </si>
  <si>
    <t>Cave Troll</t>
  </si>
  <si>
    <t>Snow Troll</t>
  </si>
  <si>
    <t>Half Troll</t>
  </si>
  <si>
    <t>Olog-hai</t>
  </si>
  <si>
    <t>Wood Troll</t>
  </si>
  <si>
    <t>Stone Troll</t>
  </si>
  <si>
    <t>Kiran</t>
  </si>
  <si>
    <t>Hathorian</t>
  </si>
  <si>
    <t>1/1/1</t>
  </si>
  <si>
    <t>9</t>
  </si>
  <si>
    <t>8</t>
  </si>
  <si>
    <t>Armour Light</t>
  </si>
  <si>
    <t>Bear Tribe</t>
  </si>
  <si>
    <t>2/5</t>
  </si>
  <si>
    <t>2/4</t>
  </si>
  <si>
    <t>1/5</t>
  </si>
  <si>
    <t>1/4</t>
  </si>
  <si>
    <t>2/6</t>
  </si>
  <si>
    <t>1/2</t>
  </si>
  <si>
    <t>Black Númenórean</t>
  </si>
  <si>
    <t>Rigid Leather</t>
  </si>
  <si>
    <t>1/3</t>
  </si>
  <si>
    <t>Armour Medium</t>
  </si>
  <si>
    <t>3/6</t>
  </si>
  <si>
    <t>6</t>
  </si>
  <si>
    <t>7</t>
  </si>
  <si>
    <t>5</t>
  </si>
  <si>
    <t>4</t>
  </si>
  <si>
    <t>3/7</t>
  </si>
  <si>
    <t>3/9</t>
  </si>
  <si>
    <t>4/9</t>
  </si>
  <si>
    <t>3</t>
  </si>
  <si>
    <t>2/7</t>
  </si>
  <si>
    <t>Troll</t>
  </si>
  <si>
    <t>Athletic Brawn</t>
  </si>
  <si>
    <t>Orc</t>
  </si>
  <si>
    <t>Athletic Endurance</t>
  </si>
  <si>
    <t>2/9</t>
  </si>
  <si>
    <t>3/10</t>
  </si>
  <si>
    <t>3/12</t>
  </si>
  <si>
    <t>5/14</t>
  </si>
  <si>
    <t>4/14</t>
  </si>
  <si>
    <t>4/12</t>
  </si>
  <si>
    <t>2/10</t>
  </si>
  <si>
    <t>1/ 5</t>
  </si>
  <si>
    <t>2</t>
  </si>
  <si>
    <t>Common Men</t>
  </si>
  <si>
    <t>Dale</t>
  </si>
  <si>
    <t>Athletic Gymnastic</t>
  </si>
  <si>
    <t>3/ 7</t>
  </si>
  <si>
    <t>5/12</t>
  </si>
  <si>
    <t>4/10</t>
  </si>
  <si>
    <t>15</t>
  </si>
  <si>
    <t>12</t>
  </si>
  <si>
    <t>6/14</t>
  </si>
  <si>
    <t>16</t>
  </si>
  <si>
    <t>Dark Tribes</t>
  </si>
  <si>
    <t>Drel</t>
  </si>
  <si>
    <t>18</t>
  </si>
  <si>
    <t>14</t>
  </si>
  <si>
    <t>6/12</t>
  </si>
  <si>
    <t>2/2/ 2</t>
  </si>
  <si>
    <t>Awareness Searching</t>
  </si>
  <si>
    <t>20</t>
  </si>
  <si>
    <t>Arhunerim</t>
  </si>
  <si>
    <t>Lore General</t>
  </si>
  <si>
    <t>Éothraim</t>
  </si>
  <si>
    <t>Own Region</t>
  </si>
  <si>
    <t>3/5</t>
  </si>
  <si>
    <t>Own Culture</t>
  </si>
  <si>
    <t>Hobbit</t>
  </si>
  <si>
    <t>Outdoor Animal</t>
  </si>
  <si>
    <t>3/8</t>
  </si>
  <si>
    <t>Gondorian</t>
  </si>
  <si>
    <t>Outdoor Environment</t>
  </si>
  <si>
    <t>Half-elf</t>
  </si>
  <si>
    <t>Science Basic</t>
  </si>
  <si>
    <t>4/7</t>
  </si>
  <si>
    <t>Half-orc</t>
  </si>
  <si>
    <t>Half Orc</t>
  </si>
  <si>
    <t>Half-troll</t>
  </si>
  <si>
    <t>Subterfuge Stealth</t>
  </si>
  <si>
    <t xml:space="preserve">Science/Analytic: Special </t>
  </si>
  <si>
    <t>Tech. General</t>
  </si>
  <si>
    <t>Urban Skill</t>
  </si>
  <si>
    <t>2/8</t>
  </si>
  <si>
    <t>4/11</t>
  </si>
  <si>
    <t>Hill Troll</t>
  </si>
  <si>
    <t>35</t>
  </si>
  <si>
    <t>30</t>
  </si>
  <si>
    <t>40</t>
  </si>
  <si>
    <t>25</t>
  </si>
  <si>
    <t>8/15</t>
  </si>
  <si>
    <t>22</t>
  </si>
  <si>
    <t>6/6</t>
  </si>
  <si>
    <t>5/5</t>
  </si>
  <si>
    <t>N/A</t>
  </si>
  <si>
    <t>Arctic Men</t>
  </si>
  <si>
    <t>120*</t>
  </si>
  <si>
    <t>50*</t>
  </si>
  <si>
    <t>60*</t>
  </si>
  <si>
    <t>80*</t>
  </si>
  <si>
    <t>10/10</t>
  </si>
  <si>
    <t>110*</t>
  </si>
  <si>
    <t>120</t>
  </si>
  <si>
    <t>Weapn skill 2</t>
  </si>
  <si>
    <t>90*</t>
  </si>
  <si>
    <t>70*</t>
  </si>
  <si>
    <t>40*</t>
  </si>
  <si>
    <t>10/10*</t>
  </si>
  <si>
    <t>12*</t>
  </si>
  <si>
    <t>30*</t>
  </si>
  <si>
    <t>100*</t>
  </si>
  <si>
    <t>90</t>
  </si>
  <si>
    <t>105*</t>
  </si>
  <si>
    <t>95*</t>
  </si>
  <si>
    <t>20*</t>
  </si>
  <si>
    <t>25*</t>
  </si>
  <si>
    <t>45*</t>
  </si>
  <si>
    <t>85*</t>
  </si>
  <si>
    <t>105</t>
  </si>
  <si>
    <t>18*</t>
  </si>
  <si>
    <t>15*</t>
  </si>
  <si>
    <t>10*</t>
  </si>
  <si>
    <t>4/4/4*</t>
  </si>
  <si>
    <t>8/8*</t>
  </si>
  <si>
    <t>28*</t>
  </si>
  <si>
    <t>35*</t>
  </si>
  <si>
    <t>12/12</t>
  </si>
  <si>
    <t>80</t>
  </si>
  <si>
    <t>6/10</t>
  </si>
  <si>
    <t>4/8</t>
  </si>
  <si>
    <t>5/10</t>
  </si>
  <si>
    <t>Hobby Ranks</t>
  </si>
  <si>
    <t xml:space="preserve">3/7 </t>
  </si>
  <si>
    <t>Technical/Trade: Profession</t>
  </si>
  <si>
    <t>ok</t>
  </si>
  <si>
    <t>Everyman</t>
  </si>
  <si>
    <t>Haradrim, N</t>
  </si>
  <si>
    <t>Haradrim, S</t>
  </si>
  <si>
    <t>5/8</t>
  </si>
  <si>
    <t>All skills in Urban category</t>
  </si>
  <si>
    <t>all Crafts-category skills</t>
  </si>
  <si>
    <t>All Outdoor – Animal -category skills</t>
  </si>
  <si>
    <t>Religion (Dorwinrim)</t>
  </si>
  <si>
    <t>Foraging</t>
  </si>
  <si>
    <t>Caving (Hobbit Holes)</t>
  </si>
  <si>
    <t>All Outdoor-environmental category skills</t>
  </si>
  <si>
    <t>Herding</t>
  </si>
  <si>
    <t>Leather-crafting</t>
  </si>
  <si>
    <t>Play Instrument</t>
  </si>
  <si>
    <t>All Outdoor – Animal CAT skills (horses)</t>
  </si>
  <si>
    <t>Any 5 skills in Crafts category</t>
  </si>
  <si>
    <t>Trapping</t>
  </si>
  <si>
    <t>All Outdoor – Animal CAT (horses)</t>
  </si>
  <si>
    <t>Power-striking</t>
  </si>
  <si>
    <t>Metal-crafting</t>
  </si>
  <si>
    <t>Survival (Tundra)</t>
  </si>
  <si>
    <t>Herb Lore</t>
  </si>
  <si>
    <t>Power-throwing</t>
  </si>
  <si>
    <t>Hunting</t>
  </si>
  <si>
    <t>Star Gazing</t>
  </si>
  <si>
    <t>Wood-crafting</t>
  </si>
  <si>
    <t>Survival (tundra)</t>
  </si>
  <si>
    <t>All skills withing 2-Handed Weapons or Pole Arm</t>
  </si>
  <si>
    <t>Smithing</t>
  </si>
  <si>
    <t>Weight-lifting</t>
  </si>
  <si>
    <t>Stone-crafting</t>
  </si>
  <si>
    <t>Survival (underground)</t>
  </si>
  <si>
    <t>Profession Bonuses</t>
  </si>
  <si>
    <t>Barbarian</t>
  </si>
  <si>
    <t>Uruk-hai</t>
  </si>
  <si>
    <t>Restricted</t>
  </si>
  <si>
    <t>All Urban CAT skills</t>
  </si>
  <si>
    <t>All Urban category skills</t>
  </si>
  <si>
    <t>All Science/Analytic – Basic skill CAT</t>
  </si>
  <si>
    <t>All Science/Analytic – Specialized skill CAT</t>
  </si>
  <si>
    <t>Armour T</t>
  </si>
  <si>
    <t>Armour Name</t>
  </si>
  <si>
    <t>MInMP</t>
  </si>
  <si>
    <t>MaxMP</t>
  </si>
  <si>
    <t>MAP</t>
  </si>
  <si>
    <t>QuP</t>
  </si>
  <si>
    <t>Roll</t>
  </si>
  <si>
    <t>Status</t>
  </si>
  <si>
    <t>copper</t>
  </si>
  <si>
    <t>silver</t>
  </si>
  <si>
    <t>gold</t>
  </si>
  <si>
    <t>Title</t>
  </si>
  <si>
    <t>Clothes / None</t>
  </si>
  <si>
    <t>Clothes</t>
  </si>
  <si>
    <t>Former Slave</t>
  </si>
  <si>
    <t>Serf</t>
  </si>
  <si>
    <t>+20 Scaling</t>
  </si>
  <si>
    <t>Any Armour – Light skills</t>
  </si>
  <si>
    <t>Animal Handling</t>
  </si>
  <si>
    <t>Any Armour skill</t>
  </si>
  <si>
    <t>Any Weapon skills</t>
  </si>
  <si>
    <t>+5 Stalk</t>
  </si>
  <si>
    <t>+15 Stalk</t>
  </si>
  <si>
    <t>+3 Stalk</t>
  </si>
  <si>
    <t>+20 Mounted Combat</t>
  </si>
  <si>
    <t>Armour – Light CAT skills</t>
  </si>
  <si>
    <t>+15 Swimming</t>
  </si>
  <si>
    <t>+20 Climbing</t>
  </si>
  <si>
    <t>+5 DB and RR vs Heat/Fire attacks</t>
  </si>
  <si>
    <t>+10 DB and RR vs Heat/Fire attacks</t>
  </si>
  <si>
    <t>+20 DB and RR vs Cold/Ice attacks</t>
  </si>
  <si>
    <t>+10 Mounted Combat</t>
  </si>
  <si>
    <t>+20 Outdoor - Animal CAT (horses)</t>
  </si>
  <si>
    <t>+10 Observation</t>
  </si>
  <si>
    <t>+15 Boat Piloting</t>
  </si>
  <si>
    <t>Armour-Light skills</t>
  </si>
  <si>
    <t>+30 DB and RR vs Heat and Cold attacks</t>
  </si>
  <si>
    <t>Robes</t>
  </si>
  <si>
    <t>Lower Lower Class</t>
  </si>
  <si>
    <t>Peasant</t>
  </si>
  <si>
    <t>+20 Acrotabics</t>
  </si>
  <si>
    <t>+25 Caving</t>
  </si>
  <si>
    <t>+20 DB and RR vs Cold attacks</t>
  </si>
  <si>
    <t>+10 DB and RR vs Cold attacks</t>
  </si>
  <si>
    <t>+15 DB and RR vs Cold attacks</t>
  </si>
  <si>
    <t>+5 DB and RR vs Cold attacks</t>
  </si>
  <si>
    <t>+20 Acrobatics</t>
  </si>
  <si>
    <t>-5 DB and RR vs Cold/Ice attacks</t>
  </si>
  <si>
    <t>-10 DB and RR vs Cold/Ice attacks</t>
  </si>
  <si>
    <t>-20 DB and RR vs Heat/Fire attacks</t>
  </si>
  <si>
    <t>+10 Riding (horse)</t>
  </si>
  <si>
    <t>+20 Riding</t>
  </si>
  <si>
    <t>+15 Caving</t>
  </si>
  <si>
    <t>Light Hide</t>
  </si>
  <si>
    <t>Middle Lower Class</t>
  </si>
  <si>
    <t>Commoner</t>
  </si>
  <si>
    <t>+20 Public Speaking</t>
  </si>
  <si>
    <t>Boat Piloting</t>
  </si>
  <si>
    <t>+15 Attunement</t>
  </si>
  <si>
    <t>+10 bonus to Base spell attack from Bard spell lists</t>
  </si>
  <si>
    <t>+20 Ship-Building [craft]</t>
  </si>
  <si>
    <t>+3 Subterfuge - Stealth CAT</t>
  </si>
  <si>
    <t>+10 Foraging</t>
  </si>
  <si>
    <t>1-Handed Edged Weapon skills</t>
  </si>
  <si>
    <t>Anthropology (Genealogy)</t>
  </si>
  <si>
    <t>+10 DB and RR vs Water attacks</t>
  </si>
  <si>
    <t>+30 DB and RR vs Cold/Ice attacks, -15 DB and RR vs Heat/Fire attacks</t>
  </si>
  <si>
    <t>Heavy Hide</t>
  </si>
  <si>
    <t>Upper Lower Class</t>
  </si>
  <si>
    <t>Small Holder</t>
  </si>
  <si>
    <t>+20 Acting</t>
  </si>
  <si>
    <t>Any Weapon skill</t>
  </si>
  <si>
    <t>+15 Metal-crafting</t>
  </si>
  <si>
    <t>+5 Subterfuge - Stealth CAT</t>
  </si>
  <si>
    <t>Throw and Missile Weapon skills</t>
  </si>
  <si>
    <t>Any Missile Weapon skill</t>
  </si>
  <si>
    <t>1-H Edged Weapon skills</t>
  </si>
  <si>
    <t>+10 Driving (chariot)</t>
  </si>
  <si>
    <t>Any Armour skills</t>
  </si>
  <si>
    <t>Leather Jerkin</t>
  </si>
  <si>
    <t>Lower Middle Class</t>
  </si>
  <si>
    <t>Villein, Monk</t>
  </si>
  <si>
    <t>Acrotabics</t>
  </si>
  <si>
    <t>Culture Lore (Elven)</t>
  </si>
  <si>
    <t>+15 Stone-crafting</t>
  </si>
  <si>
    <t>+15 Healing Meditation</t>
  </si>
  <si>
    <t>+10 Hiding</t>
  </si>
  <si>
    <t>+20 Boat Piloting</t>
  </si>
  <si>
    <t>+20 Herding</t>
  </si>
  <si>
    <t>Any Weapon skills except 1-H concussion</t>
  </si>
  <si>
    <t>2-H Weapon skills</t>
  </si>
  <si>
    <t>Leather Coat</t>
  </si>
  <si>
    <t>Middle Middle Class</t>
  </si>
  <si>
    <t>Merchant, Priest</t>
  </si>
  <si>
    <t>Apppraisal</t>
  </si>
  <si>
    <t>-25 Swimming</t>
  </si>
  <si>
    <t>+15 Healing Songs</t>
  </si>
  <si>
    <t>+10 Trickery</t>
  </si>
  <si>
    <t>+20 Sailing</t>
  </si>
  <si>
    <t>Any Weapon skill except 2-h and pole arm</t>
  </si>
  <si>
    <t>Athletic Games (Gymnastic-horse shoe)</t>
  </si>
  <si>
    <t>Animal Handling (horses)</t>
  </si>
  <si>
    <t>Body Painting [Craft]</t>
  </si>
  <si>
    <t>Reinforced Coat</t>
  </si>
  <si>
    <t>Upper Middle Class</t>
  </si>
  <si>
    <t>Knight, Dame, Prior</t>
  </si>
  <si>
    <t>Embroidery [Craft]</t>
  </si>
  <si>
    <t>Armour – light -category skills</t>
  </si>
  <si>
    <t>+20 Hunting</t>
  </si>
  <si>
    <t>Armour-Light -category</t>
  </si>
  <si>
    <t>Directed Spells – Ice Bolt</t>
  </si>
  <si>
    <t>Armour – Light skills</t>
  </si>
  <si>
    <t>Full-Length Coat</t>
  </si>
  <si>
    <t>Lower Upper Class</t>
  </si>
  <si>
    <t>Baron, Baroness, Abbot</t>
  </si>
  <si>
    <t>Bone Carving [crafts]</t>
  </si>
  <si>
    <t>Leather Breastplate</t>
  </si>
  <si>
    <t>Middle Upper Class</t>
  </si>
  <si>
    <t>Body Develpoment</t>
  </si>
  <si>
    <t>Leather Breastplate &amp; Greaves</t>
  </si>
  <si>
    <t>Upper Upper Class</t>
  </si>
  <si>
    <t>Culture Lore</t>
  </si>
  <si>
    <t>Cookery</t>
  </si>
  <si>
    <t>Half-Hide Plate</t>
  </si>
  <si>
    <t>Royalty</t>
  </si>
  <si>
    <t>Painting (Body Painting)</t>
  </si>
  <si>
    <t>History</t>
  </si>
  <si>
    <t>Dance</t>
  </si>
  <si>
    <t>Any Armour – Medium or – Light skill</t>
  </si>
  <si>
    <t>Full-Hide Plate</t>
  </si>
  <si>
    <t>Brawling</t>
  </si>
  <si>
    <t>History (famous weapons, enchanted creations)</t>
  </si>
  <si>
    <t>Disarm Traps</t>
  </si>
  <si>
    <t>Embroidery [craft]</t>
  </si>
  <si>
    <t>Bone-carving [craft]</t>
  </si>
  <si>
    <t>Chain Shirt</t>
  </si>
  <si>
    <t>Jewellery Making [Craft]</t>
  </si>
  <si>
    <t>Ice and Snow Lore</t>
  </si>
  <si>
    <t>Tattooing [craft]</t>
  </si>
  <si>
    <t>Chain Shirt &amp; Greaves</t>
  </si>
  <si>
    <t>Open Spell lists</t>
  </si>
  <si>
    <t>Beadwork [craft]</t>
  </si>
  <si>
    <t>Full Chain</t>
  </si>
  <si>
    <t>Star-gazing</t>
  </si>
  <si>
    <t>Navigation</t>
  </si>
  <si>
    <t>Fauna Lore (horses)</t>
  </si>
  <si>
    <t>Spell Lists</t>
  </si>
  <si>
    <t>History (Lumimiehet)</t>
  </si>
  <si>
    <t>History (Jäämiehet)</t>
  </si>
  <si>
    <t>Boat Building [craft]</t>
  </si>
  <si>
    <t>History (Wose)</t>
  </si>
  <si>
    <t>Chain Hauberk</t>
  </si>
  <si>
    <t>Embroider [craft]</t>
  </si>
  <si>
    <t>Foraging (Mountain / Hills)</t>
  </si>
  <si>
    <t>Ice-carving [craft]</t>
  </si>
  <si>
    <t>Metal Breastplate</t>
  </si>
  <si>
    <t>Military Organisation</t>
  </si>
  <si>
    <t>Ivory-carving [craft]</t>
  </si>
  <si>
    <t>Metal Breastplate &amp; Greaves</t>
  </si>
  <si>
    <t>History (Dunlendings)</t>
  </si>
  <si>
    <t>Obseravtion</t>
  </si>
  <si>
    <t>Half Plate</t>
  </si>
  <si>
    <t>Play Instruments</t>
  </si>
  <si>
    <t>Survival (arctic)</t>
  </si>
  <si>
    <t>History Lore (Variags)</t>
  </si>
  <si>
    <t>Full Plate</t>
  </si>
  <si>
    <t>Pole-vaulting</t>
  </si>
  <si>
    <t>Pole Vaulting</t>
  </si>
  <si>
    <t>Any Power Awareness -skills</t>
  </si>
  <si>
    <t>Tricker</t>
  </si>
  <si>
    <t>Region Lore (local)</t>
  </si>
  <si>
    <t>Sea/Whale Lore</t>
  </si>
  <si>
    <t>AT#</t>
  </si>
  <si>
    <t>MAB</t>
  </si>
  <si>
    <t>Region Lore (cavernous region)</t>
  </si>
  <si>
    <t>Sewing</t>
  </si>
  <si>
    <t>History (Eothraim)</t>
  </si>
  <si>
    <t>History (Merimetsästäjät)</t>
  </si>
  <si>
    <t>Spell lists</t>
  </si>
  <si>
    <t>Spells: Arcane</t>
  </si>
  <si>
    <t>Read runes</t>
  </si>
  <si>
    <t>Singaling</t>
  </si>
  <si>
    <t>Foraging (arctic)</t>
  </si>
  <si>
    <t xml:space="preserve">Military Organisation </t>
  </si>
  <si>
    <t>Riding (wargs)</t>
  </si>
  <si>
    <t>Tactics</t>
  </si>
  <si>
    <t>Region Lore (own)</t>
  </si>
  <si>
    <t>Spinning [craft]</t>
  </si>
  <si>
    <t>Singing (chanting)</t>
  </si>
  <si>
    <t>Driving (sled)</t>
  </si>
  <si>
    <t>Religion (Dark)</t>
  </si>
  <si>
    <t>Tattooing [Craft]</t>
  </si>
  <si>
    <t>Military Organisation (Cavalry)</t>
  </si>
  <si>
    <t>Tightrope-walking</t>
  </si>
  <si>
    <t>Gold-smithing</t>
  </si>
  <si>
    <t>Stilt-walking</t>
  </si>
  <si>
    <t>Totem Making [craft]</t>
  </si>
  <si>
    <t>Ship-building [craft]</t>
  </si>
  <si>
    <t>History (Lossoth)</t>
  </si>
  <si>
    <t>Wood Carving [craft]</t>
  </si>
  <si>
    <t>Throwing Weapon Skills</t>
  </si>
  <si>
    <t>+10 Awareness CAT when dealing with smells</t>
  </si>
  <si>
    <t>Riding (horse)</t>
  </si>
  <si>
    <t>Missile Weapon Skills</t>
  </si>
  <si>
    <t>+25 Tracking</t>
  </si>
  <si>
    <t>Weaving [craft]</t>
  </si>
  <si>
    <t>Wood-crafts</t>
  </si>
  <si>
    <t>+15 Foraging</t>
  </si>
  <si>
    <t>Stone-crafts</t>
  </si>
  <si>
    <t>+4 Subterfuge - Stealth CAT</t>
  </si>
  <si>
    <t>+25 Stalk</t>
  </si>
  <si>
    <t>Any Weapon Skills</t>
  </si>
  <si>
    <t>Spinning</t>
  </si>
  <si>
    <t>+30 DB and RR vs Heat and Cold</t>
  </si>
  <si>
    <t>+15 Tale Telling</t>
  </si>
  <si>
    <t>Tactics (Cavalry)</t>
  </si>
  <si>
    <t>+25 to all boat handling maneuvers</t>
  </si>
  <si>
    <t>+20 to Boat Piloting</t>
  </si>
  <si>
    <t>Trap Building</t>
  </si>
  <si>
    <t>+10 to all melee weapon skill categories</t>
  </si>
  <si>
    <t>+20 to Navigation</t>
  </si>
  <si>
    <t>Any Weapon skills (except 1-H concussion and Missile Artillery)</t>
  </si>
  <si>
    <t>+20 to Rope Mastery</t>
  </si>
  <si>
    <t>+20 to Sailing</t>
  </si>
  <si>
    <t>+30 RR vs Poison</t>
  </si>
  <si>
    <t>+20 to Star-gazing</t>
  </si>
  <si>
    <t>Weather-Watching</t>
  </si>
  <si>
    <t>+15 Acting</t>
  </si>
  <si>
    <t>+20 to Weather Watching</t>
  </si>
  <si>
    <t>Weaving [crafts]</t>
  </si>
  <si>
    <t>+15 Public Speaking</t>
  </si>
  <si>
    <t>+10 Boat Handling maneuvers</t>
  </si>
  <si>
    <t>Transcend Amour</t>
  </si>
  <si>
    <t>Realm</t>
  </si>
  <si>
    <t>???</t>
  </si>
  <si>
    <t>Ess/Ment</t>
  </si>
  <si>
    <t>Prime Stats</t>
  </si>
  <si>
    <t>ST/CO</t>
  </si>
  <si>
    <t>AG/QU</t>
  </si>
  <si>
    <t>AG/ST</t>
  </si>
  <si>
    <t>QU/SD</t>
  </si>
  <si>
    <t>none</t>
  </si>
  <si>
    <t>EM/RE</t>
  </si>
  <si>
    <t>IN/ME</t>
  </si>
  <si>
    <t>PR/SD</t>
  </si>
  <si>
    <t>IN/PR/SD</t>
  </si>
  <si>
    <t>EM/PR/SD</t>
  </si>
  <si>
    <t>EM/IN/SD</t>
  </si>
  <si>
    <t>IN/CO</t>
  </si>
  <si>
    <t>IN/SD</t>
  </si>
  <si>
    <t>EM/SD</t>
  </si>
  <si>
    <t>EM/AG</t>
  </si>
  <si>
    <t>PR/ME</t>
  </si>
  <si>
    <t>PR/RE</t>
  </si>
  <si>
    <t>EM/IN/PR/SD</t>
  </si>
  <si>
    <t>EM/CO</t>
  </si>
  <si>
    <t>AG/PR</t>
  </si>
  <si>
    <t>SD/EM/PR</t>
  </si>
  <si>
    <t>SD/PR</t>
  </si>
  <si>
    <t>AG/IN</t>
  </si>
  <si>
    <t>IN/RE</t>
  </si>
  <si>
    <t>IN/AG</t>
  </si>
  <si>
    <t>RE/ME</t>
  </si>
  <si>
    <t>AG/SD</t>
  </si>
  <si>
    <t>IN/EM</t>
  </si>
  <si>
    <t>Realm Stat Bonus</t>
  </si>
  <si>
    <t>Dunael</t>
  </si>
  <si>
    <t>Westron</t>
  </si>
  <si>
    <t>Adûnaic</t>
  </si>
  <si>
    <t>Khuzdul</t>
  </si>
  <si>
    <t>Quenya</t>
  </si>
  <si>
    <t>Bethteur</t>
  </si>
  <si>
    <t>Sindarin</t>
  </si>
  <si>
    <t>Eothrik</t>
  </si>
  <si>
    <t>Atliduk</t>
  </si>
  <si>
    <t>Sagathig</t>
  </si>
  <si>
    <t>Northron</t>
  </si>
  <si>
    <t>Gramuik</t>
  </si>
  <si>
    <t>Nahaiduk</t>
  </si>
  <si>
    <t>Esteravik</t>
  </si>
  <si>
    <t>Haradaic</t>
  </si>
  <si>
    <t>Apysaic</t>
  </si>
  <si>
    <t>Kuduk</t>
  </si>
  <si>
    <t>Labba</t>
  </si>
  <si>
    <t>Varadja</t>
  </si>
  <si>
    <t>Asdradja</t>
  </si>
  <si>
    <t>Brygathic</t>
  </si>
  <si>
    <t>Firasfradja</t>
  </si>
  <si>
    <t>Kykurija</t>
  </si>
  <si>
    <t>Odhradja</t>
  </si>
  <si>
    <t>Urdar</t>
  </si>
  <si>
    <t>Umitic</t>
  </si>
  <si>
    <t>Pûkael</t>
  </si>
  <si>
    <t>Tribal Gûjâb</t>
  </si>
  <si>
    <t>Base List</t>
  </si>
  <si>
    <t>Earth Law</t>
  </si>
  <si>
    <t>Feel-Taste-Smell</t>
  </si>
  <si>
    <t>Channels</t>
  </si>
  <si>
    <t>Mind Attack</t>
  </si>
  <si>
    <t>Blood Mastery</t>
  </si>
  <si>
    <t>Blood Ways</t>
  </si>
  <si>
    <t>Confusing Ways</t>
  </si>
  <si>
    <t>Flesh Destruction</t>
  </si>
  <si>
    <t>Inner Walls</t>
  </si>
  <si>
    <t>Communion</t>
  </si>
  <si>
    <t>Body Reins</t>
  </si>
  <si>
    <t>Concealment Mastery</t>
  </si>
  <si>
    <t>Controlling Songs</t>
  </si>
  <si>
    <t>Assassination Mastery</t>
  </si>
  <si>
    <t>Mana Law</t>
  </si>
  <si>
    <t>Faith Breaker</t>
  </si>
  <si>
    <t>Arcane Motions</t>
  </si>
  <si>
    <t>Amplifications</t>
  </si>
  <si>
    <t>Commanding Will</t>
  </si>
  <si>
    <t>Mana Fields</t>
  </si>
  <si>
    <t>Combat Enhancement</t>
  </si>
  <si>
    <t>Armour Mastery</t>
  </si>
  <si>
    <t>Seeming Defenses</t>
  </si>
  <si>
    <t>Far Visions</t>
  </si>
  <si>
    <t>Far Voice</t>
  </si>
  <si>
    <t>Animal Summons</t>
  </si>
  <si>
    <t>Doom's Law</t>
  </si>
  <si>
    <t>Holy Mission</t>
  </si>
  <si>
    <t>Ceremonies</t>
  </si>
  <si>
    <t>Communal Ways</t>
  </si>
  <si>
    <t>Proselytizing</t>
  </si>
  <si>
    <t>Divine Magic</t>
  </si>
  <si>
    <t>Death Mastery</t>
  </si>
  <si>
    <t>Aquatic Forms</t>
  </si>
  <si>
    <t>Battlefield Healing</t>
  </si>
  <si>
    <t>Blood Law</t>
  </si>
  <si>
    <t>Choose 6 of these</t>
  </si>
  <si>
    <t>Fire Law</t>
  </si>
  <si>
    <t>Guises</t>
  </si>
  <si>
    <t>Herb Mastery</t>
  </si>
  <si>
    <t>Mind Control</t>
  </si>
  <si>
    <t>Bone Mastery</t>
  </si>
  <si>
    <t>Bone Ways</t>
  </si>
  <si>
    <t>Gas Alteration</t>
  </si>
  <si>
    <t>Fluid Destruction</t>
  </si>
  <si>
    <t>Moving Ways</t>
  </si>
  <si>
    <t>Exorcism</t>
  </si>
  <si>
    <t>Body Renewal</t>
  </si>
  <si>
    <t>Influences</t>
  </si>
  <si>
    <t>Entertaining Ways</t>
  </si>
  <si>
    <t>Disguise Mastery</t>
  </si>
  <si>
    <t>Power Focus</t>
  </si>
  <si>
    <t>Mind Breaker</t>
  </si>
  <si>
    <t>Arcane Senses</t>
  </si>
  <si>
    <t>Containing Ways</t>
  </si>
  <si>
    <t>Inscriptions</t>
  </si>
  <si>
    <t>Mana Items</t>
  </si>
  <si>
    <t>Combat Misdirections</t>
  </si>
  <si>
    <t>Battle Law</t>
  </si>
  <si>
    <t>Seeming Enhancement</t>
  </si>
  <si>
    <t>Future Visions</t>
  </si>
  <si>
    <t>Holy Vision</t>
  </si>
  <si>
    <t>Planar Summons</t>
  </si>
  <si>
    <t>Faith Destruction</t>
  </si>
  <si>
    <t>The Defender</t>
  </si>
  <si>
    <t>Protections</t>
  </si>
  <si>
    <t>Faith's Shield</t>
  </si>
  <si>
    <t>Holy Element</t>
  </si>
  <si>
    <t>Life Mastery</t>
  </si>
  <si>
    <t>Crusade</t>
  </si>
  <si>
    <t>Divine Aura</t>
  </si>
  <si>
    <t>Holy Wrath</t>
  </si>
  <si>
    <t>Bone Law</t>
  </si>
  <si>
    <t>Armour Enchanments</t>
  </si>
  <si>
    <t>Holy Armour</t>
  </si>
  <si>
    <t>Attack Mastery</t>
  </si>
  <si>
    <t>Waildyth</t>
  </si>
  <si>
    <t>Reiksfrathig</t>
  </si>
  <si>
    <t>Orkish</t>
  </si>
  <si>
    <t>Ice Law</t>
  </si>
  <si>
    <t>Illusion Mastery</t>
  </si>
  <si>
    <t>Nature's Lore</t>
  </si>
  <si>
    <t>Mind Merge</t>
  </si>
  <si>
    <t>Concussion Mastery</t>
  </si>
  <si>
    <t>Cleansing</t>
  </si>
  <si>
    <t>Gas Destruction</t>
  </si>
  <si>
    <t>Nature's Guises</t>
  </si>
  <si>
    <t>Holy Arms</t>
  </si>
  <si>
    <t>Evasions</t>
  </si>
  <si>
    <t>Mechanisms</t>
  </si>
  <si>
    <t>Item Lore</t>
  </si>
  <si>
    <t>Escapes</t>
  </si>
  <si>
    <t>Power's Mastery</t>
  </si>
  <si>
    <t>Spell Bane</t>
  </si>
  <si>
    <t>Changes</t>
  </si>
  <si>
    <t>Hunter's Call</t>
  </si>
  <si>
    <t>Nomenclature Mastery</t>
  </si>
  <si>
    <t>Mana Servants</t>
  </si>
  <si>
    <t>Detections and Protections</t>
  </si>
  <si>
    <t>Fortress Law</t>
  </si>
  <si>
    <t>Seeming Law</t>
  </si>
  <si>
    <t>Mind Visions</t>
  </si>
  <si>
    <t>Starlights</t>
  </si>
  <si>
    <t>Summoning Bond</t>
  </si>
  <si>
    <t>Look of Terror</t>
  </si>
  <si>
    <t>The Eye</t>
  </si>
  <si>
    <t>Nature Domination</t>
  </si>
  <si>
    <t>Insect Mastery</t>
  </si>
  <si>
    <t>Holy Weapon</t>
  </si>
  <si>
    <t>Hunting Mastery</t>
  </si>
  <si>
    <t>Holy Defenses</t>
  </si>
  <si>
    <t>Holy Wind</t>
  </si>
  <si>
    <t>Holy Symbol</t>
  </si>
  <si>
    <t>Muscle Law</t>
  </si>
  <si>
    <t>Concussion's Ways</t>
  </si>
  <si>
    <t>General Enchantments</t>
  </si>
  <si>
    <t>Holy Office</t>
  </si>
  <si>
    <t>Defense Mastery</t>
  </si>
  <si>
    <t>Light Law</t>
  </si>
  <si>
    <t>Light Molding</t>
  </si>
  <si>
    <t>Nature's Move/Senses</t>
  </si>
  <si>
    <t>Mind Speech</t>
  </si>
  <si>
    <t>Muscle Mastery</t>
  </si>
  <si>
    <t>Muscle Ways</t>
  </si>
  <si>
    <t>Liquid Alteration</t>
  </si>
  <si>
    <t>Mind Destruction</t>
  </si>
  <si>
    <t>Nature's Summons</t>
  </si>
  <si>
    <t>Holy Healing</t>
  </si>
  <si>
    <t>Mind Over Matter</t>
  </si>
  <si>
    <t>Movement Mastery</t>
  </si>
  <si>
    <t>Lores</t>
  </si>
  <si>
    <t>Gathering Secrets</t>
  </si>
  <si>
    <t>Spell Shaping</t>
  </si>
  <si>
    <t>Spell Coordination</t>
  </si>
  <si>
    <t>Hand of Chaos</t>
  </si>
  <si>
    <t>Power Lore</t>
  </si>
  <si>
    <t>Physical Manipulations</t>
  </si>
  <si>
    <t>Mana Warriors</t>
  </si>
  <si>
    <t>Warrior's Blade</t>
  </si>
  <si>
    <t>Martial Law</t>
  </si>
  <si>
    <t>Seeming Mastery</t>
  </si>
  <si>
    <t>Past Visions</t>
  </si>
  <si>
    <t>Starlore</t>
  </si>
  <si>
    <t>Summoning Circles</t>
  </si>
  <si>
    <t>Revenging Law</t>
  </si>
  <si>
    <t>The Mask</t>
  </si>
  <si>
    <t>Repulsions</t>
  </si>
  <si>
    <t>Holy Trances</t>
  </si>
  <si>
    <t>Nature's Movement/Senses</t>
  </si>
  <si>
    <t>Nerve Law</t>
  </si>
  <si>
    <t>Inorganic Skills</t>
  </si>
  <si>
    <t>Holy Wards</t>
  </si>
  <si>
    <t>External Concentrations</t>
  </si>
  <si>
    <t>Logathig</t>
  </si>
  <si>
    <t>Morbeth</t>
  </si>
  <si>
    <t>Undercommon</t>
  </si>
  <si>
    <t>Water Law</t>
  </si>
  <si>
    <t>Mind Sense Molding</t>
  </si>
  <si>
    <t>Nature's Protection</t>
  </si>
  <si>
    <t>Nerve &amp; Organ Mastery</t>
  </si>
  <si>
    <t>Organ Ways</t>
  </si>
  <si>
    <t>Mystical Change</t>
  </si>
  <si>
    <t>Solid Destruction</t>
  </si>
  <si>
    <t>Nature's Way</t>
  </si>
  <si>
    <t>Holy Shields</t>
  </si>
  <si>
    <t>Monk's Bridge</t>
  </si>
  <si>
    <t>Senses</t>
  </si>
  <si>
    <t>Sound Control</t>
  </si>
  <si>
    <t>Misdirections</t>
  </si>
  <si>
    <t>Void Law</t>
  </si>
  <si>
    <t>Spell Hand</t>
  </si>
  <si>
    <t>Spell Protection</t>
  </si>
  <si>
    <t>Symbolism</t>
  </si>
  <si>
    <t>Glyphs</t>
  </si>
  <si>
    <t>Warrior's Enhancements</t>
  </si>
  <si>
    <t>Warrior's Law</t>
  </si>
  <si>
    <t>Seeming Memories</t>
  </si>
  <si>
    <t>Vision Borrowing</t>
  </si>
  <si>
    <t>Starsense</t>
  </si>
  <si>
    <t>Summoning Mastery</t>
  </si>
  <si>
    <t>Transformations</t>
  </si>
  <si>
    <t>The Will</t>
  </si>
  <si>
    <t>Summons</t>
  </si>
  <si>
    <t>Spiritual Vision</t>
  </si>
  <si>
    <t>Organ Law</t>
  </si>
  <si>
    <t>Herb Law</t>
  </si>
  <si>
    <t>Item Analysis</t>
  </si>
  <si>
    <t>Holy Weapons</t>
  </si>
  <si>
    <t>Inorganic Mastery</t>
  </si>
  <si>
    <t>Wind Law</t>
  </si>
  <si>
    <t>Sound Molding</t>
  </si>
  <si>
    <t>Plant Mastery</t>
  </si>
  <si>
    <t>Sense Control</t>
  </si>
  <si>
    <t>Prosthetics</t>
  </si>
  <si>
    <t>Surface Ways</t>
  </si>
  <si>
    <t>Solid Alteration</t>
  </si>
  <si>
    <t>Soul Destruction</t>
  </si>
  <si>
    <t>Path Mastery</t>
  </si>
  <si>
    <t>Inspiring Ways</t>
  </si>
  <si>
    <t>Monk's Sense</t>
  </si>
  <si>
    <t>Thieving Law</t>
  </si>
  <si>
    <t>Sound Projection</t>
  </si>
  <si>
    <t>Poison Mastery</t>
  </si>
  <si>
    <t>Wards</t>
  </si>
  <si>
    <t>Spell Shield</t>
  </si>
  <si>
    <t>Spell Tracker</t>
  </si>
  <si>
    <t>Warding Mastery</t>
  </si>
  <si>
    <t>Matter Molding</t>
  </si>
  <si>
    <t>Will of the Warrior</t>
  </si>
  <si>
    <t>Weapon Mastery</t>
  </si>
  <si>
    <t>Seeming Projection</t>
  </si>
  <si>
    <t>Vision Guard</t>
  </si>
  <si>
    <t>Way of the Voice</t>
  </si>
  <si>
    <t>Teleportals</t>
  </si>
  <si>
    <t>Wyrd Mastery</t>
  </si>
  <si>
    <t>Vengeance</t>
  </si>
  <si>
    <t>Tree Mastery</t>
  </si>
  <si>
    <t>one of:</t>
  </si>
  <si>
    <t>The Hunter</t>
  </si>
  <si>
    <t>Dark Channels</t>
  </si>
  <si>
    <t>Liquid/Gas Skills</t>
  </si>
  <si>
    <t>Holy Works</t>
  </si>
  <si>
    <t>Horse Mastery</t>
  </si>
  <si>
    <t>Organic Skills</t>
  </si>
  <si>
    <t>Holy Inorganic Skills</t>
  </si>
  <si>
    <t>Meditative Healing</t>
  </si>
  <si>
    <t>Serpent Law</t>
  </si>
  <si>
    <t>Other Realm Imbedding</t>
  </si>
  <si>
    <t>Own Realm Imbedding</t>
  </si>
  <si>
    <t>Weapon Enchantments</t>
  </si>
  <si>
    <t>Understanding Mastery</t>
  </si>
  <si>
    <t>Land Forms</t>
  </si>
  <si>
    <t>Combat Awareness</t>
  </si>
  <si>
    <t>One Situational Awareness</t>
  </si>
  <si>
    <t>Varies</t>
  </si>
  <si>
    <t>Sense Reality</t>
  </si>
  <si>
    <t>Spell Mastery</t>
  </si>
  <si>
    <t>Runes</t>
  </si>
  <si>
    <t>All skills in Outdoor – Environmental CAT</t>
  </si>
  <si>
    <t>All skills in Outdoor – Animal CAT</t>
  </si>
  <si>
    <t>Religion</t>
  </si>
  <si>
    <t>All skills in Outdoor Group</t>
  </si>
  <si>
    <t>All skills in Communications CAT</t>
  </si>
  <si>
    <t>All skills in Crafts CAT that involve metal-crafting</t>
  </si>
  <si>
    <t>All skills in Influence CAT</t>
  </si>
  <si>
    <t xml:space="preserve">Astronomy </t>
  </si>
  <si>
    <t>All other skills in Artistic Group</t>
  </si>
  <si>
    <t>Other skills in Influence CAT</t>
  </si>
  <si>
    <t>All skills in Awareness – Searching CAT</t>
  </si>
  <si>
    <t>Animal Training</t>
  </si>
  <si>
    <t>Fly/Glide</t>
  </si>
  <si>
    <t>Any one Survival Skill</t>
  </si>
  <si>
    <t>Any one Riding skill</t>
  </si>
  <si>
    <t>Lore skill 1</t>
  </si>
  <si>
    <t>Any one Combat Maneuver skill</t>
  </si>
  <si>
    <t>Channgeling</t>
  </si>
  <si>
    <t>One Combat Maneuver</t>
  </si>
  <si>
    <t>Adrenal Stabilizaion</t>
  </si>
  <si>
    <t>Symbol Lore</t>
  </si>
  <si>
    <t>All other skills in the Artistic Group</t>
  </si>
  <si>
    <t>All Athletic Game -skills</t>
  </si>
  <si>
    <t>All other skills in Crats CAT</t>
  </si>
  <si>
    <t>All skills in Lore – Magical CAT</t>
  </si>
  <si>
    <t>Use Prepared Herbs</t>
  </si>
  <si>
    <t>Lie Detection</t>
  </si>
  <si>
    <t>One skill in Power Manipulation CAT</t>
  </si>
  <si>
    <t>All skills in Subterfuge – Stealth CAT</t>
  </si>
  <si>
    <t>Choice of one language (both spoken and written)</t>
  </si>
  <si>
    <t>Astronomu</t>
  </si>
  <si>
    <t>All skills in Athletic – Brawn CAT</t>
  </si>
  <si>
    <t>All skills in Inflience CAT</t>
  </si>
  <si>
    <t>Lore skill 2</t>
  </si>
  <si>
    <t>Any one Lore – Obscure -skill</t>
  </si>
  <si>
    <t>Divination Lore</t>
  </si>
  <si>
    <t>One Ancient Language (written)</t>
  </si>
  <si>
    <t>Choice of one weapon skill</t>
  </si>
  <si>
    <t>All skills in Artistic – Passive CAT</t>
  </si>
  <si>
    <t>Brewing</t>
  </si>
  <si>
    <t>Choice of one skill in Combat Maneuvers CAT</t>
  </si>
  <si>
    <t>One skill on Power Awareness CAT</t>
  </si>
  <si>
    <t>All skills in Athletic – Endurance CAT</t>
  </si>
  <si>
    <t>Navigaion</t>
  </si>
  <si>
    <t>choice of three languages (spoken)</t>
  </si>
  <si>
    <t>Choice of two skills in Science/Analytic – Group</t>
  </si>
  <si>
    <t>Any one Region Lore</t>
  </si>
  <si>
    <t>Lore skill 3</t>
  </si>
  <si>
    <t>One Non-Restricted Combat Maneuver</t>
  </si>
  <si>
    <t>Operating Equipment</t>
  </si>
  <si>
    <t>either Boxing or Wrestling</t>
  </si>
  <si>
    <t>Use Prepared Herb/Poison</t>
  </si>
  <si>
    <t>Read Tracks</t>
  </si>
  <si>
    <t>One skill in Spell Group</t>
  </si>
  <si>
    <t>All skills in one Weapon skill CAT</t>
  </si>
  <si>
    <t>choice of one language (written)</t>
  </si>
  <si>
    <t>Poison Lore</t>
  </si>
  <si>
    <t>one of Surgery, Second Aid or Midwifery</t>
  </si>
  <si>
    <t>Stargazing</t>
  </si>
  <si>
    <t>Gem Cutting</t>
  </si>
  <si>
    <t>Choice of one skill in Armour Group</t>
  </si>
  <si>
    <t>Sculpture</t>
  </si>
  <si>
    <t>Meditiation</t>
  </si>
  <si>
    <t>Circle Lore</t>
  </si>
  <si>
    <t>all Evaluate skills</t>
  </si>
  <si>
    <t>Naviation</t>
  </si>
  <si>
    <t>+15 RR against naturally occuring poisons and food poisoning</t>
  </si>
  <si>
    <t>+15 RR involving effects from Undead creatures</t>
  </si>
  <si>
    <t>Animal Mastery classified as normal skill</t>
  </si>
  <si>
    <t>Can make a Sense Reality maneuver to detect illusions (or invisible objects)</t>
  </si>
  <si>
    <t>+25 to influence (when dealing with people in his community)</t>
  </si>
  <si>
    <t>+25 to discerning cheating in a competition</t>
  </si>
  <si>
    <t>+25 to determine quality of craftsmanship</t>
  </si>
  <si>
    <t>+15 to Influence CAT</t>
  </si>
  <si>
    <t>+5 bonus to all skills in Awareness Group</t>
  </si>
  <si>
    <t>+15 bonus to all skills in Influence CAT</t>
  </si>
  <si>
    <t>+50 RR vs Disease</t>
  </si>
  <si>
    <t>+25 to Awareness involving earth or stone</t>
  </si>
  <si>
    <t>+15 RR vs Fire and Heat attacks</t>
  </si>
  <si>
    <t>+10 RR vs Diseases and Poisons</t>
  </si>
  <si>
    <t>Set Traps</t>
  </si>
  <si>
    <t>All priests have Nightvision (50')</t>
  </si>
  <si>
    <t>+10 Warhammer skill</t>
  </si>
  <si>
    <t>+25 Flora and Fauna Lore</t>
  </si>
  <si>
    <t>+25 to any Awareness underwater</t>
  </si>
  <si>
    <t>+15 to discern value of an object</t>
  </si>
  <si>
    <t>+15 to RR and DB vs Heat and Cold attacks or damage</t>
  </si>
  <si>
    <t>+15 to Awareness - Searching maneuvers</t>
  </si>
  <si>
    <t>+15 to Time Sense</t>
  </si>
  <si>
    <t>+15 to maneuvers in area of heavy vegetation</t>
  </si>
  <si>
    <t>+15 to maneuvers performed in mid-air</t>
  </si>
  <si>
    <t>+15 to RR vs spells with sub-type of "m".</t>
  </si>
  <si>
    <t>+25 all Animal Mastery maneuvers</t>
  </si>
  <si>
    <t>+15 to any Locate Hidden involving crafted materials (including secret doors)</t>
  </si>
  <si>
    <t>+15 bonus to all skills in Subterfuge - Stealth CAT</t>
  </si>
  <si>
    <t>+15 RR vs Poisons</t>
  </si>
  <si>
    <t>+10 to determine value of metal (wholly or partially) object</t>
  </si>
  <si>
    <t>Waterwision with a range of 50'</t>
  </si>
  <si>
    <t>BD for Race</t>
  </si>
  <si>
    <t>Choice of one Weapon skill</t>
  </si>
  <si>
    <t>PPD for Race</t>
  </si>
  <si>
    <t>+25 to Influence during battle</t>
  </si>
  <si>
    <t>All skills in Armour group</t>
  </si>
  <si>
    <t>Urban</t>
  </si>
  <si>
    <t>Urban skills</t>
  </si>
  <si>
    <t>Weapons</t>
  </si>
  <si>
    <t>Occupational</t>
  </si>
  <si>
    <t>Broadsword</t>
  </si>
  <si>
    <t>Dagger</t>
  </si>
  <si>
    <t>Battle Axe</t>
  </si>
  <si>
    <t>Hand Axe</t>
  </si>
  <si>
    <t>Club</t>
  </si>
  <si>
    <t xml:space="preserve">Dagger </t>
  </si>
  <si>
    <t>Bola</t>
  </si>
  <si>
    <t>Any one craft</t>
  </si>
  <si>
    <t>Calligraphy</t>
  </si>
  <si>
    <t>Military Organizaion</t>
  </si>
  <si>
    <t>Choice of one skill in the Artistic Group</t>
  </si>
  <si>
    <t>Choice of one skill in Athletic – Endurance CAT</t>
  </si>
  <si>
    <t>One skill in Crafts CAT</t>
  </si>
  <si>
    <t>One of Horticulture, Brewing, Mining, Stone-crafting</t>
  </si>
  <si>
    <t>Choice of any one metal-crafting skill</t>
  </si>
  <si>
    <t>Any one skill in Artistic Group</t>
  </si>
  <si>
    <t>One skill in Influence CAT</t>
  </si>
  <si>
    <t>choice of one skill in Influence CAT</t>
  </si>
  <si>
    <t>Choice of one skill in Athletic – Brawn CAT</t>
  </si>
  <si>
    <t>Six crafting skills of the player's choice</t>
  </si>
  <si>
    <t>Scimitar</t>
  </si>
  <si>
    <t>Broadswrod</t>
  </si>
  <si>
    <t>Javelin</t>
  </si>
  <si>
    <t>Short Bow</t>
  </si>
  <si>
    <t>Harpoon</t>
  </si>
  <si>
    <t>temp</t>
  </si>
  <si>
    <t>pot</t>
  </si>
  <si>
    <t>Composite Bow</t>
  </si>
  <si>
    <t>Short Sword</t>
  </si>
  <si>
    <t>Mace</t>
  </si>
  <si>
    <t>Long Sword</t>
  </si>
  <si>
    <t>Lance</t>
  </si>
  <si>
    <t>Net</t>
  </si>
  <si>
    <t>Spear</t>
  </si>
  <si>
    <t>Throwing Dagger</t>
  </si>
  <si>
    <t>Long Bow</t>
  </si>
  <si>
    <t>War Hammer</t>
  </si>
  <si>
    <t>Ice Knife (+5 dagger)</t>
  </si>
  <si>
    <t>Sling</t>
  </si>
  <si>
    <t>Halberd</t>
  </si>
  <si>
    <t>Flail</t>
  </si>
  <si>
    <t>Ligh Crossbow</t>
  </si>
  <si>
    <t>Quarterstaff</t>
  </si>
  <si>
    <t>Ice Axe (+10 Hand Axe)</t>
  </si>
  <si>
    <t>Morning Star</t>
  </si>
  <si>
    <t>Whip</t>
  </si>
  <si>
    <t>Long Knife</t>
  </si>
  <si>
    <t>Blowgun</t>
  </si>
  <si>
    <t>Trident</t>
  </si>
  <si>
    <t>Cudgel</t>
  </si>
  <si>
    <t>Fishing Spear (-5 Javelin)</t>
  </si>
  <si>
    <t>War Mattock</t>
  </si>
  <si>
    <t>Two-handed Sword</t>
  </si>
  <si>
    <t>Boomerang</t>
  </si>
  <si>
    <t>Blackjack</t>
  </si>
  <si>
    <t>Fishing Net</t>
  </si>
  <si>
    <t>Knife</t>
  </si>
  <si>
    <t xml:space="preserve">Spear </t>
  </si>
  <si>
    <t>Light Crossbow</t>
  </si>
  <si>
    <t>Woodman's Axe</t>
  </si>
  <si>
    <t>Darts (throwing)</t>
  </si>
  <si>
    <t>Sabre</t>
  </si>
  <si>
    <t>Pilum</t>
  </si>
  <si>
    <t>Horse Bow</t>
  </si>
  <si>
    <t>Throwing Darts</t>
  </si>
  <si>
    <t>Usriev</t>
  </si>
  <si>
    <t>Throwing Axe</t>
  </si>
  <si>
    <t>Falchion</t>
  </si>
  <si>
    <t>Bastard Swrod</t>
  </si>
  <si>
    <t>Heavy Crossbow</t>
  </si>
  <si>
    <t>Foil</t>
  </si>
  <si>
    <t>Main Gauche</t>
  </si>
  <si>
    <t>Katana</t>
  </si>
  <si>
    <t>Two-Handed Sword</t>
  </si>
  <si>
    <t>Rapier</t>
  </si>
  <si>
    <t>Longsword</t>
  </si>
  <si>
    <t>Bastard Sword</t>
  </si>
  <si>
    <t>Arien</t>
  </si>
  <si>
    <t>Yavanna</t>
  </si>
  <si>
    <t>Vairë</t>
  </si>
  <si>
    <t>Oromë</t>
  </si>
  <si>
    <t>Ossë</t>
  </si>
  <si>
    <t>Vána</t>
  </si>
  <si>
    <t>Tulkas</t>
  </si>
  <si>
    <t>Aulë</t>
  </si>
  <si>
    <t>Morgoth</t>
  </si>
  <si>
    <t>Námo</t>
  </si>
  <si>
    <t>Irmo</t>
  </si>
  <si>
    <t>Ëonwë</t>
  </si>
  <si>
    <t>Estë</t>
  </si>
  <si>
    <t>Varda</t>
  </si>
  <si>
    <t>Manwë</t>
  </si>
  <si>
    <t>Tilion</t>
  </si>
  <si>
    <t>Ben-Adar</t>
  </si>
  <si>
    <t>Vana</t>
  </si>
  <si>
    <t>Ulmo</t>
  </si>
  <si>
    <t>Ilmarë</t>
  </si>
  <si>
    <t>Nienna</t>
  </si>
  <si>
    <t>Cat of Nine Tails</t>
  </si>
  <si>
    <t>Deep Green</t>
  </si>
  <si>
    <t>Blue</t>
  </si>
  <si>
    <t>White</t>
  </si>
  <si>
    <t>Boar Spear</t>
  </si>
  <si>
    <t>Sea Green</t>
  </si>
  <si>
    <t>Throwing Stars</t>
  </si>
  <si>
    <t>Brown</t>
  </si>
  <si>
    <t>Cutlass</t>
  </si>
  <si>
    <t>Black</t>
  </si>
  <si>
    <t>Red</t>
  </si>
  <si>
    <t>Spring Green</t>
  </si>
  <si>
    <t>Red Gold</t>
  </si>
  <si>
    <t>Orange</t>
  </si>
  <si>
    <t>Deep Blue</t>
  </si>
  <si>
    <t>Grey</t>
  </si>
  <si>
    <t>Purple</t>
  </si>
  <si>
    <t>Grey-White</t>
  </si>
  <si>
    <t>Skin</t>
  </si>
  <si>
    <t>Steel Grey</t>
  </si>
  <si>
    <t>Tanned</t>
  </si>
  <si>
    <t>Fair</t>
  </si>
  <si>
    <t>Light</t>
  </si>
  <si>
    <t>Ruddy</t>
  </si>
  <si>
    <t>Light Grey</t>
  </si>
  <si>
    <t>Dark Grey</t>
  </si>
  <si>
    <t>Mixed</t>
  </si>
  <si>
    <t>Light Brown</t>
  </si>
  <si>
    <t>Deep Grey</t>
  </si>
  <si>
    <t>Green</t>
  </si>
  <si>
    <t>Tan</t>
  </si>
  <si>
    <t>Yellowish</t>
  </si>
  <si>
    <t>Crimson</t>
  </si>
  <si>
    <t>Olive</t>
  </si>
  <si>
    <t>Swarthy</t>
  </si>
  <si>
    <t>Dark Brown</t>
  </si>
  <si>
    <t>Pale Grey</t>
  </si>
  <si>
    <t>Eyes</t>
  </si>
  <si>
    <t>Pale Blue</t>
  </si>
  <si>
    <t>Hazel</t>
  </si>
  <si>
    <t>Bluish</t>
  </si>
  <si>
    <t>Reddish Brown</t>
  </si>
  <si>
    <t>Reddish-Brown</t>
  </si>
  <si>
    <t>Violet</t>
  </si>
  <si>
    <t>Yellow</t>
  </si>
  <si>
    <t>Deity choice</t>
  </si>
  <si>
    <t>Hair</t>
  </si>
  <si>
    <t>Dark</t>
  </si>
  <si>
    <t>Sandy</t>
  </si>
  <si>
    <t>Blonde</t>
  </si>
  <si>
    <t>Reddish</t>
  </si>
  <si>
    <t>Curly Brown</t>
  </si>
  <si>
    <t>Alignment</t>
  </si>
  <si>
    <t>Apotechary (V), MERP</t>
  </si>
  <si>
    <t>LG</t>
  </si>
  <si>
    <t>Lawful Good</t>
  </si>
  <si>
    <t>Path of Integrity: Conformity/Tradition and Benevolence</t>
  </si>
  <si>
    <t>NG</t>
  </si>
  <si>
    <t>Neutral Good</t>
  </si>
  <si>
    <t>Path of Mercy: Benevolence and Universalism</t>
  </si>
  <si>
    <t>Benevolence and Universalism</t>
  </si>
  <si>
    <t>CG</t>
  </si>
  <si>
    <t>Chaotic Good</t>
  </si>
  <si>
    <t>Path of Liberty: Universalism and Self-Direction</t>
  </si>
  <si>
    <t>Universalism and Self-Direction</t>
  </si>
  <si>
    <t>LN</t>
  </si>
  <si>
    <t>Lawful Neutral</t>
  </si>
  <si>
    <t>Path of Harmony: Security and Conformity/Tradition</t>
  </si>
  <si>
    <t>Security and Conformity/Tradition</t>
  </si>
  <si>
    <t>NN</t>
  </si>
  <si>
    <t>True Neutral</t>
  </si>
  <si>
    <t>Path of Equity: Any values</t>
  </si>
  <si>
    <t>Any values, whether incongruent or not</t>
  </si>
  <si>
    <t>CN</t>
  </si>
  <si>
    <t>Path of Autonomy: Self-Direction and Stimulation</t>
  </si>
  <si>
    <t>Self-Direction and Stimulation</t>
  </si>
  <si>
    <t>Training Packages</t>
  </si>
  <si>
    <t>ToA</t>
  </si>
  <si>
    <t>Money</t>
  </si>
  <si>
    <t>Special 1</t>
  </si>
  <si>
    <t>Special 2</t>
  </si>
  <si>
    <t>Special 3</t>
  </si>
  <si>
    <t>Special 4</t>
  </si>
  <si>
    <t>Special 5</t>
  </si>
  <si>
    <t>Special 6</t>
  </si>
  <si>
    <t>Special 7</t>
  </si>
  <si>
    <t>Special 8</t>
  </si>
  <si>
    <t>Special 9</t>
  </si>
  <si>
    <t>Special 10</t>
  </si>
  <si>
    <t>Special 11</t>
  </si>
  <si>
    <t>Special 12</t>
  </si>
  <si>
    <t>Special 13</t>
  </si>
  <si>
    <t>Special 14</t>
  </si>
  <si>
    <t>Special 15</t>
  </si>
  <si>
    <t>Special 16</t>
  </si>
  <si>
    <t>Special 17</t>
  </si>
  <si>
    <t>Category or skill</t>
  </si>
  <si>
    <t>Prof. Qualifier</t>
  </si>
  <si>
    <t>LE</t>
  </si>
  <si>
    <t>Lawful Evil</t>
  </si>
  <si>
    <t>Path of Ascendency: Power and Security</t>
  </si>
  <si>
    <t>Power and Security</t>
  </si>
  <si>
    <t>[EMPTY]</t>
  </si>
  <si>
    <t>NE</t>
  </si>
  <si>
    <t>Neutral Evil</t>
  </si>
  <si>
    <t>Path of Supremacy: Achievement and Power</t>
  </si>
  <si>
    <t>Achievement and Power</t>
  </si>
  <si>
    <t>Normal + d10</t>
  </si>
  <si>
    <t>Weapon +10 NM (30)</t>
  </si>
  <si>
    <t>Armour +10 NM (30)</t>
  </si>
  <si>
    <t>Other Equipment +5 NM (30)</t>
  </si>
  <si>
    <r>
      <t xml:space="preserve">Spell Adder +1 </t>
    </r>
    <r>
      <rPr>
        <b/>
        <sz val="7"/>
        <color indexed="8"/>
        <rFont val="Arial"/>
        <family val="2"/>
        <charset val="1"/>
      </rPr>
      <t>or</t>
    </r>
    <r>
      <rPr>
        <sz val="7"/>
        <color indexed="8"/>
        <rFont val="Arial"/>
        <family val="2"/>
        <charset val="1"/>
      </rPr>
      <t xml:space="preserve"> Daily I Item (1</t>
    </r>
    <r>
      <rPr>
        <vertAlign val="superscript"/>
        <sz val="7"/>
        <color indexed="8"/>
        <rFont val="Arial"/>
        <family val="2"/>
        <charset val="1"/>
      </rPr>
      <t>st</t>
    </r>
    <r>
      <rPr>
        <sz val="7"/>
        <color indexed="8"/>
        <rFont val="Arial"/>
        <family val="2"/>
        <charset val="1"/>
      </rPr>
      <t xml:space="preserve"> lvl spell) (30)</t>
    </r>
  </si>
  <si>
    <t>Choice of weapon or Armour, +5 NM (0)</t>
  </si>
  <si>
    <t>Body Development CAT 0</t>
  </si>
  <si>
    <t>Body Development 1</t>
  </si>
  <si>
    <t>Weapon/Attack skill CAT 1</t>
  </si>
  <si>
    <t>Weapon/Attack (choice) 1</t>
  </si>
  <si>
    <t>Athletic – Gymnastic CAT 2</t>
  </si>
  <si>
    <t>Climbing 1</t>
  </si>
  <si>
    <t>Athletic – Endurance CAT 2</t>
  </si>
  <si>
    <t>Swimming 1</t>
  </si>
  <si>
    <t>Awareness – Perception CAT 0</t>
  </si>
  <si>
    <t>Alertness 2</t>
  </si>
  <si>
    <t>Awareness – Searching CAT 2</t>
  </si>
  <si>
    <t>Observation 1</t>
  </si>
  <si>
    <t>Power Awareness CAT 1</t>
  </si>
  <si>
    <t>Attunement 1</t>
  </si>
  <si>
    <t>Techincal/Trade – General CAT 1</t>
  </si>
  <si>
    <t>First Aid 1</t>
  </si>
  <si>
    <t>choice of two different stats</t>
  </si>
  <si>
    <t>CE</t>
  </si>
  <si>
    <t>Chaotic Evil</t>
  </si>
  <si>
    <t>Path of Luxury: Hedonism</t>
  </si>
  <si>
    <t>Hedonism</t>
  </si>
  <si>
    <t>Amateur Mage (L)</t>
  </si>
  <si>
    <t>Spell Adder +2 (50)</t>
  </si>
  <si>
    <r>
      <t>Daily II item (casting a 3</t>
    </r>
    <r>
      <rPr>
        <vertAlign val="superscript"/>
        <sz val="7"/>
        <color indexed="8"/>
        <rFont val="Arial"/>
        <family val="2"/>
        <charset val="1"/>
      </rPr>
      <t>rd</t>
    </r>
    <r>
      <rPr>
        <sz val="7"/>
        <color indexed="8"/>
        <rFont val="Arial"/>
        <family val="2"/>
        <charset val="1"/>
      </rPr>
      <t xml:space="preserve"> level spell) (50)</t>
    </r>
  </si>
  <si>
    <r>
      <t>Daily I item (castin a 5</t>
    </r>
    <r>
      <rPr>
        <vertAlign val="superscript"/>
        <sz val="7"/>
        <color indexed="8"/>
        <rFont val="Arial"/>
        <family val="2"/>
        <charset val="1"/>
      </rPr>
      <t>th</t>
    </r>
    <r>
      <rPr>
        <sz val="7"/>
        <color indexed="8"/>
        <rFont val="Arial"/>
        <family val="2"/>
        <charset val="1"/>
      </rPr>
      <t xml:space="preserve"> level spell) (40)</t>
    </r>
  </si>
  <si>
    <t>Spell Multiplier x2 (10)</t>
  </si>
  <si>
    <t>Spell Adder +1 (0)</t>
  </si>
  <si>
    <t>Lore – Magical Cat 2</t>
  </si>
  <si>
    <t>choice of one skill 2</t>
  </si>
  <si>
    <t>Lore – Technical CAT 1</t>
  </si>
  <si>
    <t>Choice of one skill 1</t>
  </si>
  <si>
    <t>Power Awareness Cat 2</t>
  </si>
  <si>
    <t>Reading Runes 1</t>
  </si>
  <si>
    <t>Power Manipulation Cat 0</t>
  </si>
  <si>
    <t>One non-R skill 1</t>
  </si>
  <si>
    <t>Up to 2 TP spell lists 6 (total)</t>
  </si>
  <si>
    <t>Mentor background option or any TP that awards ranks in any skill in the Spell group (-6 points)</t>
  </si>
  <si>
    <t>Any skill in the Lore Group</t>
  </si>
  <si>
    <t>one realm stat, Memory</t>
  </si>
  <si>
    <t>Animal Friend (L)</t>
  </si>
  <si>
    <t>Wolf friend (20)</t>
  </si>
  <si>
    <t>Wild cat friend (30)</t>
  </si>
  <si>
    <t>Raccoon friend (40)</t>
  </si>
  <si>
    <t>Ferret friend (40)</t>
  </si>
  <si>
    <t>Owl friend (40)</t>
  </si>
  <si>
    <t>Pigeon friend (50)</t>
  </si>
  <si>
    <t>Snake friend (30)</t>
  </si>
  <si>
    <t>Normal dog friend (mutt) (0)</t>
  </si>
  <si>
    <t>Outdoor – Environmental CAT 2</t>
  </si>
  <si>
    <t>choice up to two skills 2 (total)</t>
  </si>
  <si>
    <t>Outdoor Animal CAT 4</t>
  </si>
  <si>
    <t>choice of up to three skills 4</t>
  </si>
  <si>
    <t>Lore – General CAT 4</t>
  </si>
  <si>
    <t>Fauna Lore 2</t>
  </si>
  <si>
    <t>Flora Lore 1</t>
  </si>
  <si>
    <t>Region Lore 1</t>
  </si>
  <si>
    <t>Reading Tracks 1</t>
  </si>
  <si>
    <t>Tracking 1</t>
  </si>
  <si>
    <t>Subterfuge – Stealth CAT 2</t>
  </si>
  <si>
    <t>Stalking 1</t>
  </si>
  <si>
    <t>Hiding 1</t>
  </si>
  <si>
    <t>Animal Handler (V), EC</t>
  </si>
  <si>
    <t>Prominent scar from animal encounter (30)</t>
  </si>
  <si>
    <t>Caged Wolf (30)</t>
  </si>
  <si>
    <t>Caged Wild Cat (30)</t>
  </si>
  <si>
    <t>Caged Owl (30)</t>
  </si>
  <si>
    <t>Caged Ferret (40)</t>
  </si>
  <si>
    <t>Lasso, net and thick gloves (50)</t>
  </si>
  <si>
    <t>Caged Lizard (40)</t>
  </si>
  <si>
    <t>Caged Bat (40)</t>
  </si>
  <si>
    <t>Groom's Box: 2 brushes, hoof pick etc. (50)</t>
  </si>
  <si>
    <t>Caged Rat (50)</t>
  </si>
  <si>
    <t>Basket with snake (20)</t>
  </si>
  <si>
    <t>Bag of dried fruit (50)</t>
  </si>
  <si>
    <t>Leash with harness (50)</t>
  </si>
  <si>
    <t>Caged Pigeons 2 (0)</t>
  </si>
  <si>
    <t>Lore - General CAT 1</t>
  </si>
  <si>
    <t>Fauna Lore 3</t>
  </si>
  <si>
    <t>Outdoor – Animal CAT 3</t>
  </si>
  <si>
    <t>Animal Handling (animal A) 2</t>
  </si>
  <si>
    <t>Animal Handling (animal B) 1</t>
  </si>
  <si>
    <t>Animal Handling (animal C) 1</t>
  </si>
  <si>
    <t>Animal Healing (animal A) 1</t>
  </si>
  <si>
    <t>Animal Mastery (animal A) 1</t>
  </si>
  <si>
    <t>Animal Training (animal A) 2</t>
  </si>
  <si>
    <t>Animal Friend TP or 90+ temp EM stat (-2 points)</t>
  </si>
  <si>
    <t>Arachnamancer (L), EC</t>
  </si>
  <si>
    <t>Pet spider, Large (30)</t>
  </si>
  <si>
    <t>d10 doses of spider venom (lvl 5 reduction) (50)</t>
  </si>
  <si>
    <t>Lore book on Spiders, +10 to Spider Lore (40)</t>
  </si>
  <si>
    <t>Pet spider, Medium (40)</t>
  </si>
  <si>
    <t>d10 doses of spider venom (lvl 3 reduction) (30)</t>
  </si>
  <si>
    <t>Fang Ring, silver (30)</t>
  </si>
  <si>
    <t>Pet spider, small (0)</t>
  </si>
  <si>
    <t>Awareness – Perceptions CAT 0</t>
  </si>
  <si>
    <t>Sense Ambush 2</t>
  </si>
  <si>
    <t>Crafts CAT 0</t>
  </si>
  <si>
    <t>choice of Spinning or Weaving 3</t>
  </si>
  <si>
    <t>Lore – General CAT 1</t>
  </si>
  <si>
    <t>Fauna Lore (spiders) 3</t>
  </si>
  <si>
    <t>Poison Lore 2</t>
  </si>
  <si>
    <t>Outdoor – Animal CAT 0</t>
  </si>
  <si>
    <t>Animal Handling (spiders) 3</t>
  </si>
  <si>
    <t>Animal Mastery (spiders) 3</t>
  </si>
  <si>
    <t>Spells – TP CAT 0</t>
  </si>
  <si>
    <t>Arachnamancy List 3</t>
  </si>
  <si>
    <t>Techical/Trade – General CAT 1</t>
  </si>
  <si>
    <t>Using Prepared Herb/Poison 4</t>
  </si>
  <si>
    <t>Fauna Lore (spiders), Animal Handling (spiders)</t>
  </si>
  <si>
    <t>Assassin (V)</t>
  </si>
  <si>
    <t>Hand Weapon +10 NM (50)</t>
  </si>
  <si>
    <t>Missile Weapon +10 NM (50)</t>
  </si>
  <si>
    <t>2d10 missiles +10 NM (50)</t>
  </si>
  <si>
    <t>Underwold contacts (30)</t>
  </si>
  <si>
    <t>High ranking favor (20)</t>
  </si>
  <si>
    <t>Reliable safe house (place of hiding) (0)</t>
  </si>
  <si>
    <t>Subterfuge – Mechanics CAT 1</t>
  </si>
  <si>
    <t>Subterfuge – Attack CAT 0</t>
  </si>
  <si>
    <t>choice up to two skills 3 (total)</t>
  </si>
  <si>
    <t>Awaremess – Senses CAT 1</t>
  </si>
  <si>
    <t>choice of one skill 1</t>
  </si>
  <si>
    <t>Special Attacks CAT 0</t>
  </si>
  <si>
    <t>Berserker (L)</t>
  </si>
  <si>
    <t>Hand Weapon +5 NM (50)</t>
  </si>
  <si>
    <t>Two-handed weapon (0)</t>
  </si>
  <si>
    <t>Self Control CAT 4</t>
  </si>
  <si>
    <t>Frenzy 4</t>
  </si>
  <si>
    <t>Weapon skill CAT #1 3</t>
  </si>
  <si>
    <t>choice of two skills 3 (total)</t>
  </si>
  <si>
    <t>Weapon skill CAT #2 1</t>
  </si>
  <si>
    <t>choice of one weapon skill 1</t>
  </si>
  <si>
    <t>Strength</t>
  </si>
  <si>
    <t>Burglar (V)</t>
  </si>
  <si>
    <t>Stolen jewelry worth 10d10 sp (50)</t>
  </si>
  <si>
    <t>Stolen gems worth 10d10 sp (50)</t>
  </si>
  <si>
    <t>Stolen piece of art worth 10d10 sp (50)</t>
  </si>
  <si>
    <t>Lockpick kit +10 NM (30)</t>
  </si>
  <si>
    <t>Disarm Trap kit +10 NM (30)</t>
  </si>
  <si>
    <t>Reliable fencing contacts (20)</t>
  </si>
  <si>
    <t>Lockpick and disarm trap kit +5 NM (0)</t>
  </si>
  <si>
    <t>Subterfuge – Mechanics CAT 2</t>
  </si>
  <si>
    <t>choice of up to two skills 2 (total)</t>
  </si>
  <si>
    <t>Weapon/Attack skill 1</t>
  </si>
  <si>
    <t>Lore – General CAT 2</t>
  </si>
  <si>
    <t>Culture Lore (spesific city) 1</t>
  </si>
  <si>
    <t>Heraldry 1</t>
  </si>
  <si>
    <t>Lore – Technical CAT 2</t>
  </si>
  <si>
    <t>Lock Lore 2</t>
  </si>
  <si>
    <t>City Guard (V)</t>
  </si>
  <si>
    <t>Useful city contacts (20)</t>
  </si>
  <si>
    <t>Useful underworld contacts (20)</t>
  </si>
  <si>
    <t>Promotion (50)</t>
  </si>
  <si>
    <t>Promotion (40)</t>
  </si>
  <si>
    <t>Promotion (30)</t>
  </si>
  <si>
    <t>Weapon +10 NM (10)</t>
  </si>
  <si>
    <t>Weapon +5 NM (0)</t>
  </si>
  <si>
    <t>Weapon skill CAT (GM Assigned) 2</t>
  </si>
  <si>
    <t>Urban skill CAT 1</t>
  </si>
  <si>
    <t>Streetwise 1</t>
  </si>
  <si>
    <t>Awareness – Searching CAT 1</t>
  </si>
  <si>
    <t>Technical/Trade – General CAT 1</t>
  </si>
  <si>
    <t>Cloistered Academic (L)</t>
  </si>
  <si>
    <t>Patron (provides financial support) (40)</t>
  </si>
  <si>
    <t>Book +10NM to spesific lore (30)</t>
  </si>
  <si>
    <t>Pet (small) (0)</t>
  </si>
  <si>
    <t>choice up to four skills 4 (total)</t>
  </si>
  <si>
    <t>Lore – Technical Cat 3</t>
  </si>
  <si>
    <t>choice up to three skills 3 (total)</t>
  </si>
  <si>
    <t>Lore – Magical CAT 1</t>
  </si>
  <si>
    <t>Science/Analytic – Basic skill CAT 2</t>
  </si>
  <si>
    <t>Research 1</t>
  </si>
  <si>
    <t>Communications skill CAT 3</t>
  </si>
  <si>
    <t>one written language 3</t>
  </si>
  <si>
    <t>Con Man (V)</t>
  </si>
  <si>
    <t>Underworld contacts (30)</t>
  </si>
  <si>
    <t>Favor from an underworld figure (20)</t>
  </si>
  <si>
    <t>Fake identification (+30 Duping) (20)</t>
  </si>
  <si>
    <t>Investment 2d10sp per year (10)</t>
  </si>
  <si>
    <t>Fake identification (+15 Duping) (0)</t>
  </si>
  <si>
    <t>Lie Perception 1</t>
  </si>
  <si>
    <t>Influence CAT 3</t>
  </si>
  <si>
    <t>Duping 2</t>
  </si>
  <si>
    <t>Begging 1</t>
  </si>
  <si>
    <t>Urban CAT 1</t>
  </si>
  <si>
    <t>Conjuror (L), AC</t>
  </si>
  <si>
    <t>Book, +15 to one Magical Lore (50)</t>
  </si>
  <si>
    <t>Book, +5 to Lore – Obscure CAT (40)</t>
  </si>
  <si>
    <t>Book, +15 to one Obscure Lore (40)</t>
  </si>
  <si>
    <t>Summoning Circle on a rug, +10 to Spell Casting Static Mans with summoning spells (30)</t>
  </si>
  <si>
    <t>Summoning Circle etched on floor of current abode, +10 to Spell Casting Static Mans with summoning spells (0)</t>
  </si>
  <si>
    <t>Circle Lore 1</t>
  </si>
  <si>
    <t>Lore – Obscure CAT 3</t>
  </si>
  <si>
    <t>choice of up to three skills 3 (total)</t>
  </si>
  <si>
    <t>Power Manipulation CAT 0</t>
  </si>
  <si>
    <t>Spell – Own Real Open/Base CAT 0</t>
  </si>
  <si>
    <t>choice of one summoning spell list 3</t>
  </si>
  <si>
    <t>Crafter (V)</t>
  </si>
  <si>
    <t>Exceptional crafted work 10d10sp (50)</t>
  </si>
  <si>
    <t>Exceptional crafted work 8d10sp (50)</t>
  </si>
  <si>
    <t>Exceptional crafted work 6d10sp (50)</t>
  </si>
  <si>
    <t>Exceptional crafted work 4d10sp (50)</t>
  </si>
  <si>
    <t>Exceptional crafted work 2d10sp (50)</t>
  </si>
  <si>
    <t>Set of fine crafting tools (+15 to a spesific craft) (40)</t>
  </si>
  <si>
    <t>Set of fine crafting tools (+10 to a spesific craft) (30)</t>
  </si>
  <si>
    <t>Set of fine crafting tools (+5 to a spesific craft) (0)</t>
  </si>
  <si>
    <t>Technical/Trade – General CAT 3</t>
  </si>
  <si>
    <t>Technical/Trade Vocational CAT 0</t>
  </si>
  <si>
    <t>Craft CAT 0</t>
  </si>
  <si>
    <t>Crusading Academic (L)</t>
  </si>
  <si>
    <t>Book +10NM to spesific lore (20)</t>
  </si>
  <si>
    <t>A token/sigil recognized by scholars (50)</t>
  </si>
  <si>
    <t>Riding horse/beast (0)</t>
  </si>
  <si>
    <t>Influence CAT 2</t>
  </si>
  <si>
    <t>Public Speaking 2</t>
  </si>
  <si>
    <t>Communications CAT 5</t>
  </si>
  <si>
    <t>choice up to 5 languages spoken 5 (total)</t>
  </si>
  <si>
    <t>Culture Lore (up to two cultures) 2 (total)</t>
  </si>
  <si>
    <t>Weapon/Attack CAT 1</t>
  </si>
  <si>
    <t>Weapon/Attack 1</t>
  </si>
  <si>
    <t>Outdoor – Environmental CAT 1</t>
  </si>
  <si>
    <t>Cutpurse (V)</t>
  </si>
  <si>
    <t>Stolen document (e.g. Map, deed etc) (50)</t>
  </si>
  <si>
    <t>Disguise kit +10NM (40)</t>
  </si>
  <si>
    <t>Reliable fencing contacts (30)</t>
  </si>
  <si>
    <t>Underworld contacts (0)</t>
  </si>
  <si>
    <t>Subterfuge – Stealth CAT 4</t>
  </si>
  <si>
    <t>Picking Pockets 2</t>
  </si>
  <si>
    <t>Urban CAT 3</t>
  </si>
  <si>
    <t>choice of up to 2 skills 3 (total)</t>
  </si>
  <si>
    <t>Athletic – Gymnastic CAT 1</t>
  </si>
  <si>
    <t>Detective (V)</t>
  </si>
  <si>
    <t>Contacts in a city's administration (40)</t>
  </si>
  <si>
    <t>Piece of jewelery (reward, 10d10 sp) (50)</t>
  </si>
  <si>
    <t>d100 gems (reward, 10d10 sp total) (50)</t>
  </si>
  <si>
    <t>Piece of artwork (reward, d10 sp) (50)</t>
  </si>
  <si>
    <t>Favor from an important person (30)</t>
  </si>
  <si>
    <t>Alertness 4</t>
  </si>
  <si>
    <t>Awareness – Searching CAT 4</t>
  </si>
  <si>
    <t>choice of up to four skills 4 (total)</t>
  </si>
  <si>
    <t>Awareness – Senses CAT 1</t>
  </si>
  <si>
    <t>Influence CAT 1</t>
  </si>
  <si>
    <t>Diplomat (V)</t>
  </si>
  <si>
    <t>Normal + d10 (open ended)</t>
  </si>
  <si>
    <t>City administration contacts in city A (50)</t>
  </si>
  <si>
    <t>City administration contacts in city B (60)</t>
  </si>
  <si>
    <t>Favor from an important person (40)</t>
  </si>
  <si>
    <t>Favor from an important person (20)</t>
  </si>
  <si>
    <t>Potion, one dose, level 1 spell (20)</t>
  </si>
  <si>
    <t>Rune, level 1 spell (20)</t>
  </si>
  <si>
    <t>Finely crafted object (gift) (0)</t>
  </si>
  <si>
    <t>Communications CAT 6</t>
  </si>
  <si>
    <t>choice of up to 3 written languages 3 (total)</t>
  </si>
  <si>
    <t>choice of up to 3 spoken languages 3 (total)</t>
  </si>
  <si>
    <t>Bribery 1</t>
  </si>
  <si>
    <t>Diplomacy 2</t>
  </si>
  <si>
    <t>Culture Lore (culture X) 1</t>
  </si>
  <si>
    <t>Culture Lore (culture Y) 1</t>
  </si>
  <si>
    <t>Region Lore (region P) 1</t>
  </si>
  <si>
    <t>Region Lore (region Q) 1</t>
  </si>
  <si>
    <t>Doctor (V)</t>
  </si>
  <si>
    <t>2d10 Concussion Repair herbs (50)</t>
  </si>
  <si>
    <t>d10 Poison antitodes (30)</t>
  </si>
  <si>
    <t>d10 Burn/Exposure herbs (30)</t>
  </si>
  <si>
    <t>d10 Circulatory Repair herbs (30)</t>
  </si>
  <si>
    <t>d10 General Purpose herbs (30)</t>
  </si>
  <si>
    <t>Superior medical kit +15 NM (30)</t>
  </si>
  <si>
    <t>Medical kit +5 NM (0)</t>
  </si>
  <si>
    <t>Herb Lore 1</t>
  </si>
  <si>
    <t>Technical/Trade – Professional CAT 0</t>
  </si>
  <si>
    <t>Diagnostics 1</t>
  </si>
  <si>
    <t>Second Aid 1</t>
  </si>
  <si>
    <t>Technical/Trade – General CAT 0</t>
  </si>
  <si>
    <t>Use Prepared Herbs/Poison 1</t>
  </si>
  <si>
    <t>Technical/Trade – Vocational CAT 0</t>
  </si>
  <si>
    <t>Midwifery 1</t>
  </si>
  <si>
    <t>Explorer (L)</t>
  </si>
  <si>
    <t>Weapon +10 NM (40)</t>
  </si>
  <si>
    <t>Riding animal (GM's choice) (40)</t>
  </si>
  <si>
    <t>Passage credit on a ship (GM's discredition) (40)</t>
  </si>
  <si>
    <t>d10 herbs (GM's choice) (30)</t>
  </si>
  <si>
    <t>Map of the known world (0)</t>
  </si>
  <si>
    <t>Athletic – Endurance CAT 1</t>
  </si>
  <si>
    <t>Constitution, choice of one other stat</t>
  </si>
  <si>
    <t>Famulus (V), AC</t>
  </si>
  <si>
    <t>Book, +10 to Lore – Magical CAT (30)</t>
  </si>
  <si>
    <t>Book, +15 to one Magic Lore (30)</t>
  </si>
  <si>
    <t>Book, +10 to one Obscure Lore (30)</t>
  </si>
  <si>
    <t>2 Books, each with +5 to one Magical Lore (30)</t>
  </si>
  <si>
    <r>
      <t xml:space="preserve">+1 Spell Adder </t>
    </r>
    <r>
      <rPr>
        <b/>
        <sz val="7"/>
        <color indexed="8"/>
        <rFont val="Arial"/>
        <family val="2"/>
        <charset val="1"/>
      </rPr>
      <t>(</t>
    </r>
    <r>
      <rPr>
        <sz val="7"/>
        <color indexed="8"/>
        <rFont val="Arial"/>
        <family val="2"/>
        <charset val="1"/>
      </rPr>
      <t>40</t>
    </r>
    <r>
      <rPr>
        <b/>
        <sz val="7"/>
        <color indexed="8"/>
        <rFont val="Arial"/>
        <family val="2"/>
        <charset val="1"/>
      </rPr>
      <t>)+1 Spell Adder (</t>
    </r>
    <r>
      <rPr>
        <sz val="7"/>
        <color indexed="8"/>
        <rFont val="Arial"/>
        <family val="2"/>
        <charset val="1"/>
      </rPr>
      <t>40</t>
    </r>
    <r>
      <rPr>
        <b/>
        <sz val="7"/>
        <color indexed="8"/>
        <rFont val="Arial"/>
        <family val="2"/>
        <charset val="1"/>
      </rPr>
      <t>)+1 Spell Adder (</t>
    </r>
    <r>
      <rPr>
        <sz val="7"/>
        <color indexed="8"/>
        <rFont val="Arial"/>
        <family val="2"/>
        <charset val="1"/>
      </rPr>
      <t>40</t>
    </r>
    <r>
      <rPr>
        <b/>
        <sz val="7"/>
        <color indexed="8"/>
        <rFont val="Arial"/>
        <family val="2"/>
        <charset val="1"/>
      </rPr>
      <t>)+1 Spell Adder (</t>
    </r>
    <r>
      <rPr>
        <sz val="7"/>
        <color indexed="8"/>
        <rFont val="Arial"/>
        <family val="2"/>
        <charset val="1"/>
      </rPr>
      <t>40</t>
    </r>
    <r>
      <rPr>
        <b/>
        <sz val="7"/>
        <color indexed="8"/>
        <rFont val="Arial"/>
        <family val="2"/>
        <charset val="1"/>
      </rPr>
      <t>)+1 Spell Adder (</t>
    </r>
    <r>
      <rPr>
        <sz val="7"/>
        <color indexed="8"/>
        <rFont val="Arial"/>
        <family val="2"/>
        <charset val="1"/>
      </rPr>
      <t>40</t>
    </r>
    <r>
      <rPr>
        <b/>
        <sz val="7"/>
        <color indexed="8"/>
        <rFont val="Arial"/>
        <family val="2"/>
        <charset val="1"/>
      </rPr>
      <t>)+1 Spell Adder (</t>
    </r>
    <r>
      <rPr>
        <sz val="7"/>
        <color indexed="8"/>
        <rFont val="Arial"/>
        <family val="2"/>
        <charset val="1"/>
      </rPr>
      <t>40</t>
    </r>
    <r>
      <rPr>
        <b/>
        <sz val="7"/>
        <color indexed="8"/>
        <rFont val="Arial"/>
        <family val="2"/>
        <charset val="1"/>
      </rPr>
      <t>)+1 Spell Adder (</t>
    </r>
    <r>
      <rPr>
        <sz val="7"/>
        <color indexed="8"/>
        <rFont val="Arial"/>
        <family val="2"/>
        <charset val="1"/>
      </rPr>
      <t>40</t>
    </r>
    <r>
      <rPr>
        <b/>
        <sz val="7"/>
        <color indexed="8"/>
        <rFont val="Arial"/>
        <family val="2"/>
        <charset val="1"/>
      </rPr>
      <t>)+1 Spell Adder (</t>
    </r>
    <r>
      <rPr>
        <sz val="7"/>
        <color indexed="8"/>
        <rFont val="Arial"/>
        <family val="2"/>
        <charset val="1"/>
      </rPr>
      <t>40</t>
    </r>
    <r>
      <rPr>
        <b/>
        <sz val="7"/>
        <color indexed="8"/>
        <rFont val="Arial"/>
        <family val="2"/>
        <charset val="1"/>
      </rPr>
      <t>)+1 Spell Adder (</t>
    </r>
    <r>
      <rPr>
        <sz val="7"/>
        <color indexed="8"/>
        <rFont val="Arial"/>
        <family val="2"/>
        <charset val="1"/>
      </rPr>
      <t>40</t>
    </r>
    <r>
      <rPr>
        <b/>
        <sz val="7"/>
        <color indexed="8"/>
        <rFont val="Arial"/>
        <family val="2"/>
        <charset val="1"/>
      </rPr>
      <t>)+1 Spell Adder (</t>
    </r>
    <r>
      <rPr>
        <sz val="7"/>
        <color indexed="8"/>
        <rFont val="Arial"/>
        <family val="2"/>
        <charset val="1"/>
      </rPr>
      <t>40</t>
    </r>
    <r>
      <rPr>
        <b/>
        <sz val="7"/>
        <color indexed="8"/>
        <rFont val="Arial"/>
        <family val="2"/>
        <charset val="1"/>
      </rPr>
      <t>)+1 Spell Adder (</t>
    </r>
    <r>
      <rPr>
        <sz val="7"/>
        <color indexed="8"/>
        <rFont val="Arial"/>
        <family val="2"/>
        <charset val="1"/>
      </rPr>
      <t>40</t>
    </r>
    <r>
      <rPr>
        <b/>
        <sz val="7"/>
        <color indexed="8"/>
        <rFont val="Arial"/>
        <family val="2"/>
        <charset val="1"/>
      </rPr>
      <t>)+1 Spell Adder (</t>
    </r>
    <r>
      <rPr>
        <sz val="7"/>
        <color indexed="8"/>
        <rFont val="Arial"/>
        <family val="2"/>
        <charset val="1"/>
      </rPr>
      <t>40</t>
    </r>
    <r>
      <rPr>
        <b/>
        <sz val="7"/>
        <color indexed="8"/>
        <rFont val="Arial"/>
        <family val="2"/>
        <charset val="1"/>
      </rPr>
      <t>)+1 Spell Adder (</t>
    </r>
    <r>
      <rPr>
        <sz val="7"/>
        <color indexed="8"/>
        <rFont val="Arial"/>
        <family val="2"/>
        <charset val="1"/>
      </rPr>
      <t>40</t>
    </r>
    <r>
      <rPr>
        <b/>
        <sz val="7"/>
        <color indexed="8"/>
        <rFont val="Arial"/>
        <family val="2"/>
        <charset val="1"/>
      </rPr>
      <t>)+1 Spell Adder (</t>
    </r>
    <r>
      <rPr>
        <sz val="7"/>
        <color indexed="8"/>
        <rFont val="Arial"/>
        <family val="2"/>
        <charset val="1"/>
      </rPr>
      <t>40</t>
    </r>
    <r>
      <rPr>
        <b/>
        <sz val="7"/>
        <color indexed="8"/>
        <rFont val="Arial"/>
        <family val="2"/>
        <charset val="1"/>
      </rPr>
      <t>)+1 Spell Adder (</t>
    </r>
    <r>
      <rPr>
        <sz val="7"/>
        <color indexed="8"/>
        <rFont val="Arial"/>
        <family val="2"/>
        <charset val="1"/>
      </rPr>
      <t>40</t>
    </r>
    <r>
      <rPr>
        <b/>
        <sz val="7"/>
        <color indexed="8"/>
        <rFont val="Arial"/>
        <family val="2"/>
        <charset val="1"/>
      </rPr>
      <t>)+1 Spell Adder (</t>
    </r>
    <r>
      <rPr>
        <sz val="7"/>
        <color indexed="8"/>
        <rFont val="Arial"/>
        <family val="2"/>
        <charset val="1"/>
      </rPr>
      <t>40</t>
    </r>
    <r>
      <rPr>
        <b/>
        <sz val="7"/>
        <color indexed="8"/>
        <rFont val="Arial"/>
        <family val="2"/>
        <charset val="1"/>
      </rPr>
      <t>)+1 Spell Adder (</t>
    </r>
    <r>
      <rPr>
        <sz val="7"/>
        <color indexed="8"/>
        <rFont val="Arial"/>
        <family val="2"/>
        <charset val="1"/>
      </rPr>
      <t>40</t>
    </r>
    <r>
      <rPr>
        <b/>
        <sz val="7"/>
        <color indexed="8"/>
        <rFont val="Arial"/>
        <family val="2"/>
        <charset val="1"/>
      </rPr>
      <t>)+1 Spell Adder (</t>
    </r>
    <r>
      <rPr>
        <sz val="7"/>
        <color indexed="8"/>
        <rFont val="Arial"/>
        <family val="2"/>
        <charset val="1"/>
      </rPr>
      <t>40</t>
    </r>
    <r>
      <rPr>
        <b/>
        <sz val="7"/>
        <color indexed="8"/>
        <rFont val="Arial"/>
        <family val="2"/>
        <charset val="1"/>
      </rPr>
      <t>)+1 Spell Adder (</t>
    </r>
    <r>
      <rPr>
        <sz val="7"/>
        <color indexed="8"/>
        <rFont val="Arial"/>
        <family val="2"/>
        <charset val="1"/>
      </rPr>
      <t>40</t>
    </r>
    <r>
      <rPr>
        <b/>
        <sz val="7"/>
        <color indexed="8"/>
        <rFont val="Arial"/>
        <family val="2"/>
        <charset val="1"/>
      </rPr>
      <t>)+1 Spell Adder (</t>
    </r>
    <r>
      <rPr>
        <sz val="7"/>
        <color indexed="8"/>
        <rFont val="Arial"/>
        <family val="2"/>
        <charset val="1"/>
      </rPr>
      <t>40</t>
    </r>
    <r>
      <rPr>
        <b/>
        <sz val="7"/>
        <color indexed="8"/>
        <rFont val="Arial"/>
        <family val="2"/>
        <charset val="1"/>
      </rPr>
      <t>)+1 Spell Adder (</t>
    </r>
    <r>
      <rPr>
        <sz val="7"/>
        <color indexed="8"/>
        <rFont val="Arial"/>
        <family val="2"/>
        <charset val="1"/>
      </rPr>
      <t>40</t>
    </r>
    <r>
      <rPr>
        <b/>
        <sz val="7"/>
        <color indexed="8"/>
        <rFont val="Arial"/>
        <family val="2"/>
        <charset val="1"/>
      </rPr>
      <t>)+1 Spell Adder (</t>
    </r>
    <r>
      <rPr>
        <sz val="7"/>
        <color indexed="8"/>
        <rFont val="Arial"/>
        <family val="2"/>
        <charset val="1"/>
      </rPr>
      <t>40</t>
    </r>
    <r>
      <rPr>
        <b/>
        <sz val="7"/>
        <color indexed="8"/>
        <rFont val="Arial"/>
        <family val="2"/>
        <charset val="1"/>
      </rPr>
      <t>)+1 Spell Adder (</t>
    </r>
    <r>
      <rPr>
        <sz val="7"/>
        <color indexed="8"/>
        <rFont val="Arial"/>
        <family val="2"/>
        <charset val="1"/>
      </rPr>
      <t>40</t>
    </r>
    <r>
      <rPr>
        <b/>
        <sz val="7"/>
        <color indexed="8"/>
        <rFont val="Arial"/>
        <family val="2"/>
        <charset val="1"/>
      </rPr>
      <t>)+1 Spell Adder (</t>
    </r>
    <r>
      <rPr>
        <sz val="7"/>
        <color indexed="8"/>
        <rFont val="Arial"/>
        <family val="2"/>
        <charset val="1"/>
      </rPr>
      <t>40</t>
    </r>
    <r>
      <rPr>
        <b/>
        <sz val="7"/>
        <color indexed="8"/>
        <rFont val="Arial"/>
        <family val="2"/>
        <charset val="1"/>
      </rPr>
      <t>)+1 Spell Adder (</t>
    </r>
    <r>
      <rPr>
        <sz val="7"/>
        <color indexed="8"/>
        <rFont val="Arial"/>
        <family val="2"/>
        <charset val="1"/>
      </rPr>
      <t>40</t>
    </r>
    <r>
      <rPr>
        <b/>
        <sz val="7"/>
        <color indexed="8"/>
        <rFont val="Arial"/>
        <family val="2"/>
        <charset val="1"/>
      </rPr>
      <t>)+1 Spell Adder (</t>
    </r>
    <r>
      <rPr>
        <sz val="7"/>
        <color indexed="8"/>
        <rFont val="Arial"/>
        <family val="2"/>
        <charset val="1"/>
      </rPr>
      <t>40</t>
    </r>
    <r>
      <rPr>
        <b/>
        <sz val="7"/>
        <color indexed="8"/>
        <rFont val="Arial"/>
        <family val="2"/>
        <charset val="1"/>
      </rPr>
      <t>)+1 Spell Adder (</t>
    </r>
    <r>
      <rPr>
        <sz val="7"/>
        <color indexed="8"/>
        <rFont val="Arial"/>
        <family val="2"/>
        <charset val="1"/>
      </rPr>
      <t>40</t>
    </r>
    <r>
      <rPr>
        <b/>
        <sz val="7"/>
        <color indexed="8"/>
        <rFont val="Arial"/>
        <family val="2"/>
        <charset val="1"/>
      </rPr>
      <t>)+1 Spell Adder (</t>
    </r>
    <r>
      <rPr>
        <sz val="7"/>
        <color indexed="8"/>
        <rFont val="Arial"/>
        <family val="2"/>
        <charset val="1"/>
      </rPr>
      <t>40</t>
    </r>
    <r>
      <rPr>
        <b/>
        <sz val="7"/>
        <color indexed="8"/>
        <rFont val="Arial"/>
        <family val="2"/>
        <charset val="1"/>
      </rPr>
      <t>)+1 Spell Adder (</t>
    </r>
    <r>
      <rPr>
        <sz val="7"/>
        <color indexed="8"/>
        <rFont val="Arial"/>
        <family val="2"/>
        <charset val="1"/>
      </rPr>
      <t>40</t>
    </r>
    <r>
      <rPr>
        <b/>
        <sz val="7"/>
        <color indexed="8"/>
        <rFont val="Arial"/>
        <family val="2"/>
        <charset val="1"/>
      </rPr>
      <t>)+1 Spell Adder (</t>
    </r>
    <r>
      <rPr>
        <sz val="7"/>
        <color indexed="8"/>
        <rFont val="Arial"/>
        <family val="2"/>
        <charset val="1"/>
      </rPr>
      <t>40</t>
    </r>
    <r>
      <rPr>
        <b/>
        <sz val="7"/>
        <color indexed="8"/>
        <rFont val="Arial"/>
        <family val="2"/>
        <charset val="1"/>
      </rPr>
      <t>)+1 Spell Adder (</t>
    </r>
    <r>
      <rPr>
        <sz val="7"/>
        <color indexed="8"/>
        <rFont val="Arial"/>
        <family val="2"/>
        <charset val="1"/>
      </rPr>
      <t>40</t>
    </r>
    <r>
      <rPr>
        <b/>
        <sz val="7"/>
        <color indexed="8"/>
        <rFont val="Arial"/>
        <family val="2"/>
        <charset val="1"/>
      </rPr>
      <t>)+1 Spell Adder (</t>
    </r>
    <r>
      <rPr>
        <sz val="7"/>
        <color indexed="8"/>
        <rFont val="Arial"/>
        <family val="2"/>
        <charset val="1"/>
      </rPr>
      <t>40</t>
    </r>
    <r>
      <rPr>
        <b/>
        <sz val="7"/>
        <color indexed="8"/>
        <rFont val="Arial"/>
        <family val="2"/>
        <charset val="1"/>
      </rPr>
      <t>)+1 Spell Adder (</t>
    </r>
    <r>
      <rPr>
        <sz val="7"/>
        <color indexed="8"/>
        <rFont val="Arial"/>
        <family val="2"/>
        <charset val="1"/>
      </rPr>
      <t>40</t>
    </r>
    <r>
      <rPr>
        <b/>
        <sz val="7"/>
        <color indexed="8"/>
        <rFont val="Arial"/>
        <family val="2"/>
        <charset val="1"/>
      </rPr>
      <t>)+1 Spell Adder (</t>
    </r>
    <r>
      <rPr>
        <sz val="7"/>
        <color indexed="8"/>
        <rFont val="Arial"/>
        <family val="2"/>
        <charset val="1"/>
      </rPr>
      <t>40</t>
    </r>
    <r>
      <rPr>
        <b/>
        <sz val="7"/>
        <color indexed="8"/>
        <rFont val="Arial"/>
        <family val="2"/>
        <charset val="1"/>
      </rPr>
      <t>)+1 Spell Adder (</t>
    </r>
    <r>
      <rPr>
        <sz val="7"/>
        <color indexed="8"/>
        <rFont val="Arial"/>
        <family val="2"/>
        <charset val="1"/>
      </rPr>
      <t>40</t>
    </r>
    <r>
      <rPr>
        <b/>
        <sz val="7"/>
        <color indexed="8"/>
        <rFont val="Arial"/>
        <family val="2"/>
        <charset val="1"/>
      </rPr>
      <t>)+1 Spell Adder (</t>
    </r>
    <r>
      <rPr>
        <sz val="7"/>
        <color indexed="8"/>
        <rFont val="Arial"/>
        <family val="2"/>
        <charset val="1"/>
      </rPr>
      <t>40</t>
    </r>
    <r>
      <rPr>
        <b/>
        <sz val="7"/>
        <color indexed="8"/>
        <rFont val="Arial"/>
        <family val="2"/>
        <charset val="1"/>
      </rPr>
      <t>)+1 Spell Adder (</t>
    </r>
    <r>
      <rPr>
        <sz val="7"/>
        <color indexed="8"/>
        <rFont val="Arial"/>
        <family val="2"/>
        <charset val="1"/>
      </rPr>
      <t>40</t>
    </r>
    <r>
      <rPr>
        <b/>
        <sz val="7"/>
        <color indexed="8"/>
        <rFont val="Arial"/>
        <family val="2"/>
        <charset val="1"/>
      </rPr>
      <t>)+1 Spell Adder (</t>
    </r>
    <r>
      <rPr>
        <sz val="7"/>
        <color indexed="8"/>
        <rFont val="Arial"/>
        <family val="2"/>
        <charset val="1"/>
      </rPr>
      <t>40</t>
    </r>
    <r>
      <rPr>
        <b/>
        <sz val="7"/>
        <color indexed="8"/>
        <rFont val="Arial"/>
        <family val="2"/>
        <charset val="1"/>
      </rPr>
      <t>)+1 Spell Adder (</t>
    </r>
    <r>
      <rPr>
        <sz val="7"/>
        <color indexed="8"/>
        <rFont val="Arial"/>
        <family val="2"/>
        <charset val="1"/>
      </rPr>
      <t>40</t>
    </r>
    <r>
      <rPr>
        <b/>
        <sz val="7"/>
        <color indexed="8"/>
        <rFont val="Arial"/>
        <family val="2"/>
        <charset val="1"/>
      </rPr>
      <t>)+1 Spell Adder (</t>
    </r>
    <r>
      <rPr>
        <sz val="7"/>
        <color indexed="8"/>
        <rFont val="Arial"/>
        <family val="2"/>
        <charset val="1"/>
      </rPr>
      <t>40</t>
    </r>
    <r>
      <rPr>
        <b/>
        <sz val="7"/>
        <color indexed="8"/>
        <rFont val="Arial"/>
        <family val="2"/>
        <charset val="1"/>
      </rPr>
      <t>)+1 Spell Adder (</t>
    </r>
    <r>
      <rPr>
        <sz val="7"/>
        <color indexed="8"/>
        <rFont val="Arial"/>
        <family val="2"/>
        <charset val="1"/>
      </rPr>
      <t>40</t>
    </r>
    <r>
      <rPr>
        <b/>
        <sz val="7"/>
        <color indexed="8"/>
        <rFont val="Arial"/>
        <family val="2"/>
        <charset val="1"/>
      </rPr>
      <t>)+1 Spell Adder (</t>
    </r>
    <r>
      <rPr>
        <sz val="7"/>
        <color indexed="8"/>
        <rFont val="Arial"/>
        <family val="2"/>
        <charset val="1"/>
      </rPr>
      <t>40</t>
    </r>
    <r>
      <rPr>
        <b/>
        <sz val="7"/>
        <color indexed="8"/>
        <rFont val="Arial"/>
        <family val="2"/>
        <charset val="1"/>
      </rPr>
      <t>)+1 Spell Adder (</t>
    </r>
    <r>
      <rPr>
        <sz val="7"/>
        <color indexed="8"/>
        <rFont val="Arial"/>
        <family val="2"/>
        <charset val="1"/>
      </rPr>
      <t>40</t>
    </r>
    <r>
      <rPr>
        <b/>
        <sz val="7"/>
        <color indexed="8"/>
        <rFont val="Arial"/>
        <family val="2"/>
        <charset val="1"/>
      </rPr>
      <t>)+1 Spell Adder (</t>
    </r>
    <r>
      <rPr>
        <sz val="7"/>
        <color indexed="8"/>
        <rFont val="Arial"/>
        <family val="2"/>
        <charset val="1"/>
      </rPr>
      <t>40</t>
    </r>
    <r>
      <rPr>
        <b/>
        <sz val="7"/>
        <color indexed="8"/>
        <rFont val="Arial"/>
        <family val="2"/>
        <charset val="1"/>
      </rPr>
      <t>)+1 Spell Adder (</t>
    </r>
    <r>
      <rPr>
        <sz val="7"/>
        <color indexed="8"/>
        <rFont val="Arial"/>
        <family val="2"/>
        <charset val="1"/>
      </rPr>
      <t>40</t>
    </r>
    <r>
      <rPr>
        <b/>
        <sz val="7"/>
        <color indexed="8"/>
        <rFont val="Arial"/>
        <family val="2"/>
        <charset val="1"/>
      </rPr>
      <t>)+1 Spell Adder (</t>
    </r>
    <r>
      <rPr>
        <sz val="7"/>
        <color indexed="8"/>
        <rFont val="Arial"/>
        <family val="2"/>
        <charset val="1"/>
      </rPr>
      <t>40</t>
    </r>
    <r>
      <rPr>
        <b/>
        <sz val="7"/>
        <color indexed="8"/>
        <rFont val="Arial"/>
        <family val="2"/>
        <charset val="1"/>
      </rPr>
      <t>)+1 Spell Adder (</t>
    </r>
    <r>
      <rPr>
        <sz val="7"/>
        <color indexed="8"/>
        <rFont val="Arial"/>
        <family val="2"/>
        <charset val="1"/>
      </rPr>
      <t>40</t>
    </r>
    <r>
      <rPr>
        <b/>
        <sz val="7"/>
        <color indexed="8"/>
        <rFont val="Arial"/>
        <family val="2"/>
        <charset val="1"/>
      </rPr>
      <t>)+1 Spell Adder (</t>
    </r>
    <r>
      <rPr>
        <sz val="7"/>
        <color indexed="8"/>
        <rFont val="Arial"/>
        <family val="2"/>
        <charset val="1"/>
      </rPr>
      <t>40</t>
    </r>
    <r>
      <rPr>
        <b/>
        <sz val="7"/>
        <color indexed="8"/>
        <rFont val="Arial"/>
        <family val="2"/>
        <charset val="1"/>
      </rPr>
      <t>)+1 Spell Adder (</t>
    </r>
    <r>
      <rPr>
        <sz val="7"/>
        <color indexed="8"/>
        <rFont val="Arial"/>
        <family val="2"/>
        <charset val="1"/>
      </rPr>
      <t>40</t>
    </r>
    <r>
      <rPr>
        <b/>
        <sz val="7"/>
        <color indexed="8"/>
        <rFont val="Arial"/>
        <family val="2"/>
        <charset val="1"/>
      </rPr>
      <t>)</t>
    </r>
  </si>
  <si>
    <t>Close friend with a library curator (20)</t>
  </si>
  <si>
    <t>Close friend with another spell user (50)</t>
  </si>
  <si>
    <t>Close friend with local merchant (0)</t>
  </si>
  <si>
    <t>Lore - General CAT 2</t>
  </si>
  <si>
    <t>Lore – Magical CAT 4</t>
  </si>
  <si>
    <t>choice of up to two skills 4 (total)</t>
  </si>
  <si>
    <t>Scribing 1</t>
  </si>
  <si>
    <t>Valet 1</t>
  </si>
  <si>
    <t>Guardian (L)</t>
  </si>
  <si>
    <t>Melee weapon +10 NM (50)</t>
  </si>
  <si>
    <t>An animal companion (GM's discredition) (30)</t>
  </si>
  <si>
    <t>Camouflaged cloak +10 Hiding (30)</t>
  </si>
  <si>
    <t>Very good boots +10 stalking (30)</t>
  </si>
  <si>
    <t>A token/sigil recognized by local populace (0)</t>
  </si>
  <si>
    <t>Weapon/Attack CAT 2</t>
  </si>
  <si>
    <t>Weapon/Attack 2</t>
  </si>
  <si>
    <t>Armour – Light CAT 2</t>
  </si>
  <si>
    <t>Awaremess – Searching CAT 2</t>
  </si>
  <si>
    <t>Outdoor – Environmental CAT 6</t>
  </si>
  <si>
    <t>choice of up to three skills 6 (total)</t>
  </si>
  <si>
    <t>Herbalist (V)</t>
  </si>
  <si>
    <t>3 Poison antidotes (50)</t>
  </si>
  <si>
    <t>4 Bone Repair herbs (50)</t>
  </si>
  <si>
    <t>10 Burn/Exposure herbs (50)</t>
  </si>
  <si>
    <t>2 Circulatory Repair herbs (50)</t>
  </si>
  <si>
    <t>10 Concussion Repair herbs (50)</t>
  </si>
  <si>
    <t>d10 General Purpose herbs (50)</t>
  </si>
  <si>
    <t>1 Life Preservation herb (50)</t>
  </si>
  <si>
    <t>5 Muscle/Cartilage Repair herbs (50)</t>
  </si>
  <si>
    <t>3 Nerve Repair herbs (50)</t>
  </si>
  <si>
    <t>4 Organ Repair herbs (50)</t>
  </si>
  <si>
    <t>d10 Intoxicant herbs (30)</t>
  </si>
  <si>
    <t>d10 Poison herbs (30)</t>
  </si>
  <si>
    <t>d10 Concussion Repair herbs (0)</t>
  </si>
  <si>
    <t>Horticulture 2</t>
  </si>
  <si>
    <t>Flora Lore 2</t>
  </si>
  <si>
    <t>Herb Lore 2</t>
  </si>
  <si>
    <t>Outdoor – Environmental CAT 4</t>
  </si>
  <si>
    <t>Foraging 3</t>
  </si>
  <si>
    <t>Highwayman (V)</t>
  </si>
  <si>
    <t>Normal + d100 (open ended)</t>
  </si>
  <si>
    <t>Weapon +5 NM (30)</t>
  </si>
  <si>
    <t>Stolen jewelry 5d10 sp (50)</t>
  </si>
  <si>
    <t>Stolen gems 5d10 sp (50)</t>
  </si>
  <si>
    <t>Stolen piece of art 5d10 sp (50)</t>
  </si>
  <si>
    <t>Riding beast (GM's discredition) (0)</t>
  </si>
  <si>
    <t>Weapon skill CAT 1</t>
  </si>
  <si>
    <t>Alertness 1</t>
  </si>
  <si>
    <t>Body Developement CAT 0</t>
  </si>
  <si>
    <t>Body Developement 1</t>
  </si>
  <si>
    <t>Lore – General CAT 3</t>
  </si>
  <si>
    <t>Region Lore 3</t>
  </si>
  <si>
    <t>choice of two skills 2 (total)</t>
  </si>
  <si>
    <t>Hunter (L)</t>
  </si>
  <si>
    <t>d10 Animal Pelts d10 sp each (50)</t>
  </si>
  <si>
    <t>Good set of traps +15 NM (30)</t>
  </si>
  <si>
    <t>Reliable buyer for animal pelts (30)</t>
  </si>
  <si>
    <t>Traps +10 NM (0)</t>
  </si>
  <si>
    <t>Missile Weapon CAT 1</t>
  </si>
  <si>
    <t>Hunting 2</t>
  </si>
  <si>
    <t>choice of two skills 2)</t>
  </si>
  <si>
    <t>Skinning 1</t>
  </si>
  <si>
    <t>Reading Tracks 2</t>
  </si>
  <si>
    <t>Tracking 2</t>
  </si>
  <si>
    <t>Knight (L)</t>
  </si>
  <si>
    <t>Warhorse +10 Riding, Mounted Combat (30)</t>
  </si>
  <si>
    <t>Warhorse +5 Riding, Mounted Combat (30)</t>
  </si>
  <si>
    <t>Warhorse (30)</t>
  </si>
  <si>
    <t>Armour +10 NM (40)</t>
  </si>
  <si>
    <t>Shield +10 NM (50)</t>
  </si>
  <si>
    <t>Armour +5 NM (30)</t>
  </si>
  <si>
    <t>Shield +5 NM (40)</t>
  </si>
  <si>
    <t>Riding horse +5 Riding (0)</t>
  </si>
  <si>
    <t>Melee Weapon CAT 2</t>
  </si>
  <si>
    <t>Armour – Heavy CAT 2</t>
  </si>
  <si>
    <t>Plate 2</t>
  </si>
  <si>
    <t>Combat Maneuvers CAT 0</t>
  </si>
  <si>
    <t>Mounted Combat 1</t>
  </si>
  <si>
    <t>Heraldry 2</t>
  </si>
  <si>
    <t>Outdoor – Animal CAT 1</t>
  </si>
  <si>
    <t>Riding 1</t>
  </si>
  <si>
    <t>Jousing 2</t>
  </si>
  <si>
    <t>Strength, Self Discipline</t>
  </si>
  <si>
    <t>Loremaster (V)</t>
  </si>
  <si>
    <t>Book +20 to a spesific lore (50)</t>
  </si>
  <si>
    <t>Book +15 to a spesific lore (40)</t>
  </si>
  <si>
    <t>Book +10 to a spesific lore CAT (30)</t>
  </si>
  <si>
    <t>1-5 books +5 to a spesific lore (10)</t>
  </si>
  <si>
    <t>Book +5 to a lore CAT (0)</t>
  </si>
  <si>
    <t>Lore - General CAT 6</t>
  </si>
  <si>
    <t>Lore – Obscure CAT 1</t>
  </si>
  <si>
    <t>Lore – Magical CAT 3</t>
  </si>
  <si>
    <t>choice of up to two skills 3 (total)</t>
  </si>
  <si>
    <t>Manipulator (L), AC</t>
  </si>
  <si>
    <t>Know a secret about local noble (50)</t>
  </si>
  <si>
    <t>Know a secret about local noble (30)</t>
  </si>
  <si>
    <t>Contacts with d10 local nobles (30)</t>
  </si>
  <si>
    <t>Know a secret about local ruler/lord (10)</t>
  </si>
  <si>
    <t>Close friends with an assassin (30)</t>
  </si>
  <si>
    <t>Powerful enemies (0)</t>
  </si>
  <si>
    <t>Influence CAT 4</t>
  </si>
  <si>
    <t>Bribery 2</t>
  </si>
  <si>
    <t>Seduction 2</t>
  </si>
  <si>
    <t>Artistic – Active CAT 2</t>
  </si>
  <si>
    <t>Acting 1</t>
  </si>
  <si>
    <t>Science/Analytic – Specialised skill CAT 0</t>
  </si>
  <si>
    <t>Psychology 2</t>
  </si>
  <si>
    <t>choice of one evil mentalism spell list 3</t>
  </si>
  <si>
    <t>Martial Artist (L)</t>
  </si>
  <si>
    <t>Book +10 to a spesific lore (40)</t>
  </si>
  <si>
    <t>Book +5 to a lore CAT (40)</t>
  </si>
  <si>
    <t>Gloves +5 MA Strikes (30)</t>
  </si>
  <si>
    <t>Boots +5 MA Sweeps (30)</t>
  </si>
  <si>
    <t>Cloak +10 Hiding (40)</t>
  </si>
  <si>
    <t>Book +5 NM to a spesific lore (0)</t>
  </si>
  <si>
    <t>Martial Arts – Strikes CAT 3</t>
  </si>
  <si>
    <t>1. Degree 2</t>
  </si>
  <si>
    <t>2. Degree 1</t>
  </si>
  <si>
    <t>Martial Arts – Sweeps CAT 3</t>
  </si>
  <si>
    <t>Artistic – Passive CAT 2</t>
  </si>
  <si>
    <t>Strength, Agility</t>
  </si>
  <si>
    <t>Mercenary (L)</t>
  </si>
  <si>
    <t>Weapon +10 NM (50)</t>
  </si>
  <si>
    <t>Armour +10 NM (50)</t>
  </si>
  <si>
    <t>Medal for wartime performance (50)</t>
  </si>
  <si>
    <t>Favor from military figure (50)</t>
  </si>
  <si>
    <t>Extra d10 (open ended) in money (50)</t>
  </si>
  <si>
    <t>Extra d10 (open ended) in money (0)</t>
  </si>
  <si>
    <t>Weapon skill CAT 2</t>
  </si>
  <si>
    <t>Armour – Light CAT 1</t>
  </si>
  <si>
    <t>Athletic – Brawn CAT 1</t>
  </si>
  <si>
    <t>Body Developement 2</t>
  </si>
  <si>
    <t>Communications CAT 0</t>
  </si>
  <si>
    <t>choice of one spoken language 2</t>
  </si>
  <si>
    <t>Techincal/Trade – Professional CAT 0</t>
  </si>
  <si>
    <t>Military Organization 1</t>
  </si>
  <si>
    <t>Techincal/Trade – Vocational CAT 0</t>
  </si>
  <si>
    <t>Siege Engineering 1</t>
  </si>
  <si>
    <t>Merchant (V)</t>
  </si>
  <si>
    <t>Close friends with a merchant (40)</t>
  </si>
  <si>
    <t>Merchant's scale and weights (30)</t>
  </si>
  <si>
    <t>Trade goods 10d10 sp (30)</t>
  </si>
  <si>
    <t>Trade goods d10 sp (0)</t>
  </si>
  <si>
    <t>Communications CAT 3</t>
  </si>
  <si>
    <t>choice of up to three languages 3 (total)</t>
  </si>
  <si>
    <t>Science/Analytic – Basic CAT 1</t>
  </si>
  <si>
    <t>Basic Math 1</t>
  </si>
  <si>
    <t>Advertising 1</t>
  </si>
  <si>
    <t>Appraisal 2</t>
  </si>
  <si>
    <t>Necromancer (L), AC</t>
  </si>
  <si>
    <t>Weapon or Armour +10 NM (20)</t>
  </si>
  <si>
    <t>Close friends with a grave digger (30)</t>
  </si>
  <si>
    <t>Ancient family heirloom (from a lost lord) (30)</t>
  </si>
  <si>
    <t>Book , +20 to History (30)</t>
  </si>
  <si>
    <t>Assorted jewelry worth 2d10 sp (30)</t>
  </si>
  <si>
    <t>Faithful assistant (e.g. Hunchback, animated limb, etc.) (30)</t>
  </si>
  <si>
    <t>Digging tools +10 NM (0)</t>
  </si>
  <si>
    <t>Surgery 1</t>
  </si>
  <si>
    <t>Science/Analytic – Specialised CAT 0</t>
  </si>
  <si>
    <t>Anatomy 3</t>
  </si>
  <si>
    <t>Lore – Magical CAT 2</t>
  </si>
  <si>
    <t>Undead Lore 2</t>
  </si>
  <si>
    <t>choice of up to two history/culture skills 2 (total)</t>
  </si>
  <si>
    <t>Necromancy spell list 3</t>
  </si>
  <si>
    <t>Performer (V)</t>
  </si>
  <si>
    <t>Disguise kit +15 NM (50)</t>
  </si>
  <si>
    <t>Performance props +10 NM (50)</t>
  </si>
  <si>
    <t>Close friends with a tavern owner (40)</t>
  </si>
  <si>
    <t>Close friends with a famous performer (20)</t>
  </si>
  <si>
    <t>Make-up kit +5 NM (0)</t>
  </si>
  <si>
    <t>Artistic – Active CAT 3</t>
  </si>
  <si>
    <t>choice of one skill 3</t>
  </si>
  <si>
    <t>choice of up to five langauges 5 (total)</t>
  </si>
  <si>
    <t>Philosopher (L)</t>
  </si>
  <si>
    <t>1-5 books, +5 to spesific lore skills (50)</t>
  </si>
  <si>
    <t>1-5 books, +5 to spesific science skills (50)</t>
  </si>
  <si>
    <t>Large book +10 to a spesific lore CAT (30)</t>
  </si>
  <si>
    <t>Large book +10 to a spesific science CAT (30)</t>
  </si>
  <si>
    <t>Spell Adder +1 (20)</t>
  </si>
  <si>
    <t>A book +5 spesific lore (0)</t>
  </si>
  <si>
    <t>Lore - General CAT 5</t>
  </si>
  <si>
    <t>choice of up to four skills 5 (total)</t>
  </si>
  <si>
    <t>Science/Analytic – Basic CAT 2</t>
  </si>
  <si>
    <t>Artistic – Passive CAT 1</t>
  </si>
  <si>
    <t>choice of up to five languages 10 (total)</t>
  </si>
  <si>
    <t>Runemaster (L), AC</t>
  </si>
  <si>
    <r>
      <t>Rune Paper 10</t>
    </r>
    <r>
      <rPr>
        <vertAlign val="superscript"/>
        <sz val="7"/>
        <color indexed="8"/>
        <rFont val="Arial"/>
        <family val="2"/>
        <charset val="1"/>
      </rPr>
      <t>th</t>
    </r>
    <r>
      <rPr>
        <sz val="7"/>
        <color indexed="8"/>
        <rFont val="Arial"/>
        <family val="2"/>
        <charset val="1"/>
      </rPr>
      <t xml:space="preserve"> lvl (20)Rune Paper 10</t>
    </r>
    <r>
      <rPr>
        <vertAlign val="superscript"/>
        <sz val="7"/>
        <color indexed="8"/>
        <rFont val="Arial"/>
        <family val="2"/>
        <charset val="1"/>
      </rPr>
      <t>th</t>
    </r>
    <r>
      <rPr>
        <sz val="7"/>
        <color indexed="8"/>
        <rFont val="Arial"/>
        <family val="2"/>
        <charset val="1"/>
      </rPr>
      <t xml:space="preserve"> lvl (20)Rune Paper 10</t>
    </r>
    <r>
      <rPr>
        <vertAlign val="superscript"/>
        <sz val="7"/>
        <color indexed="8"/>
        <rFont val="Arial"/>
        <family val="2"/>
        <charset val="1"/>
      </rPr>
      <t>th</t>
    </r>
    <r>
      <rPr>
        <sz val="7"/>
        <color indexed="8"/>
        <rFont val="Arial"/>
        <family val="2"/>
        <charset val="1"/>
      </rPr>
      <t xml:space="preserve"> lvl (20)Rune Paper 10</t>
    </r>
    <r>
      <rPr>
        <vertAlign val="superscript"/>
        <sz val="7"/>
        <color indexed="8"/>
        <rFont val="Arial"/>
        <family val="2"/>
        <charset val="1"/>
      </rPr>
      <t>th</t>
    </r>
    <r>
      <rPr>
        <sz val="7"/>
        <color indexed="8"/>
        <rFont val="Arial"/>
        <family val="2"/>
        <charset val="1"/>
      </rPr>
      <t xml:space="preserve"> lvl (20)Rune Paper 10</t>
    </r>
    <r>
      <rPr>
        <vertAlign val="superscript"/>
        <sz val="7"/>
        <color indexed="8"/>
        <rFont val="Arial"/>
        <family val="2"/>
        <charset val="1"/>
      </rPr>
      <t>th</t>
    </r>
    <r>
      <rPr>
        <sz val="7"/>
        <color indexed="8"/>
        <rFont val="Arial"/>
        <family val="2"/>
        <charset val="1"/>
      </rPr>
      <t xml:space="preserve"> lvl (20)Rune Paper 10</t>
    </r>
    <r>
      <rPr>
        <vertAlign val="superscript"/>
        <sz val="7"/>
        <color indexed="8"/>
        <rFont val="Arial"/>
        <family val="2"/>
        <charset val="1"/>
      </rPr>
      <t>th</t>
    </r>
    <r>
      <rPr>
        <sz val="7"/>
        <color indexed="8"/>
        <rFont val="Arial"/>
        <family val="2"/>
        <charset val="1"/>
      </rPr>
      <t xml:space="preserve"> lvl (20)Rune Paper 10</t>
    </r>
    <r>
      <rPr>
        <vertAlign val="superscript"/>
        <sz val="7"/>
        <color indexed="8"/>
        <rFont val="Arial"/>
        <family val="2"/>
        <charset val="1"/>
      </rPr>
      <t>th</t>
    </r>
    <r>
      <rPr>
        <sz val="7"/>
        <color indexed="8"/>
        <rFont val="Arial"/>
        <family val="2"/>
        <charset val="1"/>
      </rPr>
      <t xml:space="preserve"> lvl (20)Rune Paper 10</t>
    </r>
    <r>
      <rPr>
        <vertAlign val="superscript"/>
        <sz val="7"/>
        <color indexed="8"/>
        <rFont val="Arial"/>
        <family val="2"/>
        <charset val="1"/>
      </rPr>
      <t>th</t>
    </r>
    <r>
      <rPr>
        <sz val="7"/>
        <color indexed="8"/>
        <rFont val="Arial"/>
        <family val="2"/>
        <charset val="1"/>
      </rPr>
      <t xml:space="preserve"> lvl (20)Rune Paper 10</t>
    </r>
    <r>
      <rPr>
        <vertAlign val="superscript"/>
        <sz val="7"/>
        <color indexed="8"/>
        <rFont val="Arial"/>
        <family val="2"/>
        <charset val="1"/>
      </rPr>
      <t>th</t>
    </r>
    <r>
      <rPr>
        <sz val="7"/>
        <color indexed="8"/>
        <rFont val="Arial"/>
        <family val="2"/>
        <charset val="1"/>
      </rPr>
      <t xml:space="preserve"> lvl (20)Rune Paper 10</t>
    </r>
    <r>
      <rPr>
        <vertAlign val="superscript"/>
        <sz val="7"/>
        <color indexed="8"/>
        <rFont val="Arial"/>
        <family val="2"/>
        <charset val="1"/>
      </rPr>
      <t>th</t>
    </r>
    <r>
      <rPr>
        <sz val="7"/>
        <color indexed="8"/>
        <rFont val="Arial"/>
        <family val="2"/>
        <charset val="1"/>
      </rPr>
      <t xml:space="preserve"> lvl (20)Rune Paper 10</t>
    </r>
    <r>
      <rPr>
        <vertAlign val="superscript"/>
        <sz val="7"/>
        <color indexed="8"/>
        <rFont val="Arial"/>
        <family val="2"/>
        <charset val="1"/>
      </rPr>
      <t>th</t>
    </r>
    <r>
      <rPr>
        <sz val="7"/>
        <color indexed="8"/>
        <rFont val="Arial"/>
        <family val="2"/>
        <charset val="1"/>
      </rPr>
      <t xml:space="preserve"> lvl (20)Rune Paper 10</t>
    </r>
    <r>
      <rPr>
        <vertAlign val="superscript"/>
        <sz val="7"/>
        <color indexed="8"/>
        <rFont val="Arial"/>
        <family val="2"/>
        <charset val="1"/>
      </rPr>
      <t>th</t>
    </r>
    <r>
      <rPr>
        <sz val="7"/>
        <color indexed="8"/>
        <rFont val="Arial"/>
        <family val="2"/>
        <charset val="1"/>
      </rPr>
      <t xml:space="preserve"> lvl (20)Rune Paper 10</t>
    </r>
    <r>
      <rPr>
        <vertAlign val="superscript"/>
        <sz val="7"/>
        <color indexed="8"/>
        <rFont val="Arial"/>
        <family val="2"/>
        <charset val="1"/>
      </rPr>
      <t>th</t>
    </r>
    <r>
      <rPr>
        <sz val="7"/>
        <color indexed="8"/>
        <rFont val="Arial"/>
        <family val="2"/>
        <charset val="1"/>
      </rPr>
      <t xml:space="preserve"> lvl (20)Rune Paper 10</t>
    </r>
    <r>
      <rPr>
        <vertAlign val="superscript"/>
        <sz val="7"/>
        <color indexed="8"/>
        <rFont val="Arial"/>
        <family val="2"/>
        <charset val="1"/>
      </rPr>
      <t>th</t>
    </r>
    <r>
      <rPr>
        <sz val="7"/>
        <color indexed="8"/>
        <rFont val="Arial"/>
        <family val="2"/>
        <charset val="1"/>
      </rPr>
      <t xml:space="preserve"> lvl (20)Rune Paper 10</t>
    </r>
    <r>
      <rPr>
        <vertAlign val="superscript"/>
        <sz val="7"/>
        <color indexed="8"/>
        <rFont val="Arial"/>
        <family val="2"/>
        <charset val="1"/>
      </rPr>
      <t>th</t>
    </r>
    <r>
      <rPr>
        <sz val="7"/>
        <color indexed="8"/>
        <rFont val="Arial"/>
        <family val="2"/>
        <charset val="1"/>
      </rPr>
      <t xml:space="preserve"> lvl (20)Rune Paper 10</t>
    </r>
    <r>
      <rPr>
        <vertAlign val="superscript"/>
        <sz val="7"/>
        <color indexed="8"/>
        <rFont val="Arial"/>
        <family val="2"/>
        <charset val="1"/>
      </rPr>
      <t>th</t>
    </r>
    <r>
      <rPr>
        <sz val="7"/>
        <color indexed="8"/>
        <rFont val="Arial"/>
        <family val="2"/>
        <charset val="1"/>
      </rPr>
      <t xml:space="preserve"> lvl (20)Rune Paper 10</t>
    </r>
    <r>
      <rPr>
        <vertAlign val="superscript"/>
        <sz val="7"/>
        <color indexed="8"/>
        <rFont val="Arial"/>
        <family val="2"/>
        <charset val="1"/>
      </rPr>
      <t>th</t>
    </r>
    <r>
      <rPr>
        <sz val="7"/>
        <color indexed="8"/>
        <rFont val="Arial"/>
        <family val="2"/>
        <charset val="1"/>
      </rPr>
      <t xml:space="preserve"> lvl (20)Rune Paper 10</t>
    </r>
    <r>
      <rPr>
        <vertAlign val="superscript"/>
        <sz val="7"/>
        <color indexed="8"/>
        <rFont val="Arial"/>
        <family val="2"/>
        <charset val="1"/>
      </rPr>
      <t>th</t>
    </r>
    <r>
      <rPr>
        <sz val="7"/>
        <color indexed="8"/>
        <rFont val="Arial"/>
        <family val="2"/>
        <charset val="1"/>
      </rPr>
      <t xml:space="preserve"> lvl (20)Rune Paper 10</t>
    </r>
    <r>
      <rPr>
        <vertAlign val="superscript"/>
        <sz val="7"/>
        <color indexed="8"/>
        <rFont val="Arial"/>
        <family val="2"/>
        <charset val="1"/>
      </rPr>
      <t>th</t>
    </r>
    <r>
      <rPr>
        <sz val="7"/>
        <color indexed="8"/>
        <rFont val="Arial"/>
        <family val="2"/>
        <charset val="1"/>
      </rPr>
      <t xml:space="preserve"> lvl (20)Rune Paper 10</t>
    </r>
    <r>
      <rPr>
        <vertAlign val="superscript"/>
        <sz val="7"/>
        <color indexed="8"/>
        <rFont val="Arial"/>
        <family val="2"/>
        <charset val="1"/>
      </rPr>
      <t>th</t>
    </r>
    <r>
      <rPr>
        <sz val="7"/>
        <color indexed="8"/>
        <rFont val="Arial"/>
        <family val="2"/>
        <charset val="1"/>
      </rPr>
      <t xml:space="preserve"> lvl (20)Rune Paper 10</t>
    </r>
    <r>
      <rPr>
        <vertAlign val="superscript"/>
        <sz val="7"/>
        <color indexed="8"/>
        <rFont val="Arial"/>
        <family val="2"/>
        <charset val="1"/>
      </rPr>
      <t>th</t>
    </r>
    <r>
      <rPr>
        <sz val="7"/>
        <color indexed="8"/>
        <rFont val="Arial"/>
        <family val="2"/>
        <charset val="1"/>
      </rPr>
      <t xml:space="preserve"> lvl (20)Rune Paper 10</t>
    </r>
    <r>
      <rPr>
        <vertAlign val="superscript"/>
        <sz val="7"/>
        <color indexed="8"/>
        <rFont val="Arial"/>
        <family val="2"/>
        <charset val="1"/>
      </rPr>
      <t>th</t>
    </r>
    <r>
      <rPr>
        <sz val="7"/>
        <color indexed="8"/>
        <rFont val="Arial"/>
        <family val="2"/>
        <charset val="1"/>
      </rPr>
      <t xml:space="preserve"> lvl (20)Rune Paper 10</t>
    </r>
    <r>
      <rPr>
        <vertAlign val="superscript"/>
        <sz val="7"/>
        <color indexed="8"/>
        <rFont val="Arial"/>
        <family val="2"/>
        <charset val="1"/>
      </rPr>
      <t>th</t>
    </r>
    <r>
      <rPr>
        <sz val="7"/>
        <color indexed="8"/>
        <rFont val="Arial"/>
        <family val="2"/>
        <charset val="1"/>
      </rPr>
      <t xml:space="preserve"> lvl (20)Rune Paper 10</t>
    </r>
    <r>
      <rPr>
        <vertAlign val="superscript"/>
        <sz val="7"/>
        <color indexed="8"/>
        <rFont val="Arial"/>
        <family val="2"/>
        <charset val="1"/>
      </rPr>
      <t>th</t>
    </r>
    <r>
      <rPr>
        <sz val="7"/>
        <color indexed="8"/>
        <rFont val="Arial"/>
        <family val="2"/>
        <charset val="1"/>
      </rPr>
      <t xml:space="preserve"> lvl (20)Rune Paper 10</t>
    </r>
    <r>
      <rPr>
        <vertAlign val="superscript"/>
        <sz val="7"/>
        <color indexed="8"/>
        <rFont val="Arial"/>
        <family val="2"/>
        <charset val="1"/>
      </rPr>
      <t>th</t>
    </r>
    <r>
      <rPr>
        <sz val="7"/>
        <color indexed="8"/>
        <rFont val="Arial"/>
        <family val="2"/>
        <charset val="1"/>
      </rPr>
      <t xml:space="preserve"> lvl (20)Rune Paper 10</t>
    </r>
    <r>
      <rPr>
        <vertAlign val="superscript"/>
        <sz val="7"/>
        <color indexed="8"/>
        <rFont val="Arial"/>
        <family val="2"/>
        <charset val="1"/>
      </rPr>
      <t>th</t>
    </r>
    <r>
      <rPr>
        <sz val="7"/>
        <color indexed="8"/>
        <rFont val="Arial"/>
        <family val="2"/>
        <charset val="1"/>
      </rPr>
      <t xml:space="preserve"> lvl (20)Rune Paper 10</t>
    </r>
    <r>
      <rPr>
        <vertAlign val="superscript"/>
        <sz val="7"/>
        <color indexed="8"/>
        <rFont val="Arial"/>
        <family val="2"/>
        <charset val="1"/>
      </rPr>
      <t>th</t>
    </r>
    <r>
      <rPr>
        <sz val="7"/>
        <color indexed="8"/>
        <rFont val="Arial"/>
        <family val="2"/>
        <charset val="1"/>
      </rPr>
      <t xml:space="preserve"> lvl (20)Rune Paper 10</t>
    </r>
    <r>
      <rPr>
        <vertAlign val="superscript"/>
        <sz val="7"/>
        <color indexed="8"/>
        <rFont val="Arial"/>
        <family val="2"/>
        <charset val="1"/>
      </rPr>
      <t>th</t>
    </r>
    <r>
      <rPr>
        <sz val="7"/>
        <color indexed="8"/>
        <rFont val="Arial"/>
        <family val="2"/>
        <charset val="1"/>
      </rPr>
      <t xml:space="preserve"> lvl (20)Rune Paper 10</t>
    </r>
    <r>
      <rPr>
        <vertAlign val="superscript"/>
        <sz val="7"/>
        <color indexed="8"/>
        <rFont val="Arial"/>
        <family val="2"/>
        <charset val="1"/>
      </rPr>
      <t>th</t>
    </r>
    <r>
      <rPr>
        <sz val="7"/>
        <color indexed="8"/>
        <rFont val="Arial"/>
        <family val="2"/>
        <charset val="1"/>
      </rPr>
      <t xml:space="preserve"> lvl (20)Rune Paper 10</t>
    </r>
    <r>
      <rPr>
        <vertAlign val="superscript"/>
        <sz val="7"/>
        <color indexed="8"/>
        <rFont val="Arial"/>
        <family val="2"/>
        <charset val="1"/>
      </rPr>
      <t>th</t>
    </r>
    <r>
      <rPr>
        <sz val="7"/>
        <color indexed="8"/>
        <rFont val="Arial"/>
        <family val="2"/>
        <charset val="1"/>
      </rPr>
      <t xml:space="preserve"> lvl (20)Rune Paper 10</t>
    </r>
    <r>
      <rPr>
        <vertAlign val="superscript"/>
        <sz val="7"/>
        <color indexed="8"/>
        <rFont val="Arial"/>
        <family val="2"/>
        <charset val="1"/>
      </rPr>
      <t>th</t>
    </r>
    <r>
      <rPr>
        <sz val="7"/>
        <color indexed="8"/>
        <rFont val="Arial"/>
        <family val="2"/>
        <charset val="1"/>
      </rPr>
      <t xml:space="preserve"> lvl (20)Rune Paper 10</t>
    </r>
    <r>
      <rPr>
        <vertAlign val="superscript"/>
        <sz val="7"/>
        <color indexed="8"/>
        <rFont val="Arial"/>
        <family val="2"/>
        <charset val="1"/>
      </rPr>
      <t>th</t>
    </r>
    <r>
      <rPr>
        <sz val="7"/>
        <color indexed="8"/>
        <rFont val="Arial"/>
        <family val="2"/>
        <charset val="1"/>
      </rPr>
      <t xml:space="preserve"> lvl (20)Rune Paper 10</t>
    </r>
    <r>
      <rPr>
        <vertAlign val="superscript"/>
        <sz val="7"/>
        <color indexed="8"/>
        <rFont val="Arial"/>
        <family val="2"/>
        <charset val="1"/>
      </rPr>
      <t>th</t>
    </r>
    <r>
      <rPr>
        <sz val="7"/>
        <color indexed="8"/>
        <rFont val="Arial"/>
        <family val="2"/>
        <charset val="1"/>
      </rPr>
      <t xml:space="preserve"> lvl (20)Rune Paper 10</t>
    </r>
    <r>
      <rPr>
        <vertAlign val="superscript"/>
        <sz val="7"/>
        <color indexed="8"/>
        <rFont val="Arial"/>
        <family val="2"/>
        <charset val="1"/>
      </rPr>
      <t>th</t>
    </r>
    <r>
      <rPr>
        <sz val="7"/>
        <color indexed="8"/>
        <rFont val="Arial"/>
        <family val="2"/>
        <charset val="1"/>
      </rPr>
      <t xml:space="preserve"> lvl (20)Rune Paper 10</t>
    </r>
    <r>
      <rPr>
        <vertAlign val="superscript"/>
        <sz val="7"/>
        <color indexed="8"/>
        <rFont val="Arial"/>
        <family val="2"/>
        <charset val="1"/>
      </rPr>
      <t>th</t>
    </r>
    <r>
      <rPr>
        <sz val="7"/>
        <color indexed="8"/>
        <rFont val="Arial"/>
        <family val="2"/>
        <charset val="1"/>
      </rPr>
      <t xml:space="preserve"> lvl (20)Rune Paper 10</t>
    </r>
    <r>
      <rPr>
        <vertAlign val="superscript"/>
        <sz val="7"/>
        <color indexed="8"/>
        <rFont val="Arial"/>
        <family val="2"/>
        <charset val="1"/>
      </rPr>
      <t>th</t>
    </r>
    <r>
      <rPr>
        <sz val="7"/>
        <color indexed="8"/>
        <rFont val="Arial"/>
        <family val="2"/>
        <charset val="1"/>
      </rPr>
      <t xml:space="preserve"> lvl (20)</t>
    </r>
  </si>
  <si>
    <r>
      <t>Rune Paper 5</t>
    </r>
    <r>
      <rPr>
        <vertAlign val="superscript"/>
        <sz val="7"/>
        <color indexed="8"/>
        <rFont val="Arial"/>
        <family val="2"/>
        <charset val="1"/>
      </rPr>
      <t>th</t>
    </r>
    <r>
      <rPr>
        <sz val="7"/>
        <color indexed="8"/>
        <rFont val="Arial"/>
        <family val="2"/>
        <charset val="1"/>
      </rPr>
      <t xml:space="preserve"> lvl (30)Rune Paper 5</t>
    </r>
    <r>
      <rPr>
        <vertAlign val="superscript"/>
        <sz val="7"/>
        <color indexed="8"/>
        <rFont val="Arial"/>
        <family val="2"/>
        <charset val="1"/>
      </rPr>
      <t>th</t>
    </r>
    <r>
      <rPr>
        <sz val="7"/>
        <color indexed="8"/>
        <rFont val="Arial"/>
        <family val="2"/>
        <charset val="1"/>
      </rPr>
      <t xml:space="preserve"> lvl (30)Rune Paper 5</t>
    </r>
    <r>
      <rPr>
        <vertAlign val="superscript"/>
        <sz val="7"/>
        <color indexed="8"/>
        <rFont val="Arial"/>
        <family val="2"/>
        <charset val="1"/>
      </rPr>
      <t>th</t>
    </r>
    <r>
      <rPr>
        <sz val="7"/>
        <color indexed="8"/>
        <rFont val="Arial"/>
        <family val="2"/>
        <charset val="1"/>
      </rPr>
      <t xml:space="preserve"> lvl (30)Rune Paper 5</t>
    </r>
    <r>
      <rPr>
        <vertAlign val="superscript"/>
        <sz val="7"/>
        <color indexed="8"/>
        <rFont val="Arial"/>
        <family val="2"/>
        <charset val="1"/>
      </rPr>
      <t>th</t>
    </r>
    <r>
      <rPr>
        <sz val="7"/>
        <color indexed="8"/>
        <rFont val="Arial"/>
        <family val="2"/>
        <charset val="1"/>
      </rPr>
      <t xml:space="preserve"> lvl (30)Rune Paper 5</t>
    </r>
    <r>
      <rPr>
        <vertAlign val="superscript"/>
        <sz val="7"/>
        <color indexed="8"/>
        <rFont val="Arial"/>
        <family val="2"/>
        <charset val="1"/>
      </rPr>
      <t>th</t>
    </r>
    <r>
      <rPr>
        <sz val="7"/>
        <color indexed="8"/>
        <rFont val="Arial"/>
        <family val="2"/>
        <charset val="1"/>
      </rPr>
      <t xml:space="preserve"> lvl (30)Rune Paper 5</t>
    </r>
    <r>
      <rPr>
        <vertAlign val="superscript"/>
        <sz val="7"/>
        <color indexed="8"/>
        <rFont val="Arial"/>
        <family val="2"/>
        <charset val="1"/>
      </rPr>
      <t>th</t>
    </r>
    <r>
      <rPr>
        <sz val="7"/>
        <color indexed="8"/>
        <rFont val="Arial"/>
        <family val="2"/>
        <charset val="1"/>
      </rPr>
      <t xml:space="preserve"> lvl (30)Rune Paper 5</t>
    </r>
    <r>
      <rPr>
        <vertAlign val="superscript"/>
        <sz val="7"/>
        <color indexed="8"/>
        <rFont val="Arial"/>
        <family val="2"/>
        <charset val="1"/>
      </rPr>
      <t>th</t>
    </r>
    <r>
      <rPr>
        <sz val="7"/>
        <color indexed="8"/>
        <rFont val="Arial"/>
        <family val="2"/>
        <charset val="1"/>
      </rPr>
      <t xml:space="preserve"> lvl (30)Rune Paper 5</t>
    </r>
    <r>
      <rPr>
        <vertAlign val="superscript"/>
        <sz val="7"/>
        <color indexed="8"/>
        <rFont val="Arial"/>
        <family val="2"/>
        <charset val="1"/>
      </rPr>
      <t>th</t>
    </r>
    <r>
      <rPr>
        <sz val="7"/>
        <color indexed="8"/>
        <rFont val="Arial"/>
        <family val="2"/>
        <charset val="1"/>
      </rPr>
      <t xml:space="preserve"> lvl (30)Rune Paper 5</t>
    </r>
    <r>
      <rPr>
        <vertAlign val="superscript"/>
        <sz val="7"/>
        <color indexed="8"/>
        <rFont val="Arial"/>
        <family val="2"/>
        <charset val="1"/>
      </rPr>
      <t>th</t>
    </r>
    <r>
      <rPr>
        <sz val="7"/>
        <color indexed="8"/>
        <rFont val="Arial"/>
        <family val="2"/>
        <charset val="1"/>
      </rPr>
      <t xml:space="preserve"> lvl (30)Rune Paper 5</t>
    </r>
    <r>
      <rPr>
        <vertAlign val="superscript"/>
        <sz val="7"/>
        <color indexed="8"/>
        <rFont val="Arial"/>
        <family val="2"/>
        <charset val="1"/>
      </rPr>
      <t>th</t>
    </r>
    <r>
      <rPr>
        <sz val="7"/>
        <color indexed="8"/>
        <rFont val="Arial"/>
        <family val="2"/>
        <charset val="1"/>
      </rPr>
      <t xml:space="preserve"> lvl (30)Rune Paper 5</t>
    </r>
    <r>
      <rPr>
        <vertAlign val="superscript"/>
        <sz val="7"/>
        <color indexed="8"/>
        <rFont val="Arial"/>
        <family val="2"/>
        <charset val="1"/>
      </rPr>
      <t>th</t>
    </r>
    <r>
      <rPr>
        <sz val="7"/>
        <color indexed="8"/>
        <rFont val="Arial"/>
        <family val="2"/>
        <charset val="1"/>
      </rPr>
      <t xml:space="preserve"> lvl (30)Rune Paper 5</t>
    </r>
    <r>
      <rPr>
        <vertAlign val="superscript"/>
        <sz val="7"/>
        <color indexed="8"/>
        <rFont val="Arial"/>
        <family val="2"/>
        <charset val="1"/>
      </rPr>
      <t>th</t>
    </r>
    <r>
      <rPr>
        <sz val="7"/>
        <color indexed="8"/>
        <rFont val="Arial"/>
        <family val="2"/>
        <charset val="1"/>
      </rPr>
      <t xml:space="preserve"> lvl (30)Rune Paper 5</t>
    </r>
    <r>
      <rPr>
        <vertAlign val="superscript"/>
        <sz val="7"/>
        <color indexed="8"/>
        <rFont val="Arial"/>
        <family val="2"/>
        <charset val="1"/>
      </rPr>
      <t>th</t>
    </r>
    <r>
      <rPr>
        <sz val="7"/>
        <color indexed="8"/>
        <rFont val="Arial"/>
        <family val="2"/>
        <charset val="1"/>
      </rPr>
      <t xml:space="preserve"> lvl (30)Rune Paper 5</t>
    </r>
    <r>
      <rPr>
        <vertAlign val="superscript"/>
        <sz val="7"/>
        <color indexed="8"/>
        <rFont val="Arial"/>
        <family val="2"/>
        <charset val="1"/>
      </rPr>
      <t>th</t>
    </r>
    <r>
      <rPr>
        <sz val="7"/>
        <color indexed="8"/>
        <rFont val="Arial"/>
        <family val="2"/>
        <charset val="1"/>
      </rPr>
      <t xml:space="preserve"> lvl (30)Rune Paper 5</t>
    </r>
    <r>
      <rPr>
        <vertAlign val="superscript"/>
        <sz val="7"/>
        <color indexed="8"/>
        <rFont val="Arial"/>
        <family val="2"/>
        <charset val="1"/>
      </rPr>
      <t>th</t>
    </r>
    <r>
      <rPr>
        <sz val="7"/>
        <color indexed="8"/>
        <rFont val="Arial"/>
        <family val="2"/>
        <charset val="1"/>
      </rPr>
      <t xml:space="preserve"> lvl (30)Rune Paper 5</t>
    </r>
    <r>
      <rPr>
        <vertAlign val="superscript"/>
        <sz val="7"/>
        <color indexed="8"/>
        <rFont val="Arial"/>
        <family val="2"/>
        <charset val="1"/>
      </rPr>
      <t>th</t>
    </r>
    <r>
      <rPr>
        <sz val="7"/>
        <color indexed="8"/>
        <rFont val="Arial"/>
        <family val="2"/>
        <charset val="1"/>
      </rPr>
      <t xml:space="preserve"> lvl (30)Rune Paper 5</t>
    </r>
    <r>
      <rPr>
        <vertAlign val="superscript"/>
        <sz val="7"/>
        <color indexed="8"/>
        <rFont val="Arial"/>
        <family val="2"/>
        <charset val="1"/>
      </rPr>
      <t>th</t>
    </r>
    <r>
      <rPr>
        <sz val="7"/>
        <color indexed="8"/>
        <rFont val="Arial"/>
        <family val="2"/>
        <charset val="1"/>
      </rPr>
      <t xml:space="preserve"> lvl (30)Rune Paper 5</t>
    </r>
    <r>
      <rPr>
        <vertAlign val="superscript"/>
        <sz val="7"/>
        <color indexed="8"/>
        <rFont val="Arial"/>
        <family val="2"/>
        <charset val="1"/>
      </rPr>
      <t>th</t>
    </r>
    <r>
      <rPr>
        <sz val="7"/>
        <color indexed="8"/>
        <rFont val="Arial"/>
        <family val="2"/>
        <charset val="1"/>
      </rPr>
      <t xml:space="preserve"> lvl (30)Rune Paper 5</t>
    </r>
    <r>
      <rPr>
        <vertAlign val="superscript"/>
        <sz val="7"/>
        <color indexed="8"/>
        <rFont val="Arial"/>
        <family val="2"/>
        <charset val="1"/>
      </rPr>
      <t>th</t>
    </r>
    <r>
      <rPr>
        <sz val="7"/>
        <color indexed="8"/>
        <rFont val="Arial"/>
        <family val="2"/>
        <charset val="1"/>
      </rPr>
      <t xml:space="preserve"> lvl (30)Rune Paper 5</t>
    </r>
    <r>
      <rPr>
        <vertAlign val="superscript"/>
        <sz val="7"/>
        <color indexed="8"/>
        <rFont val="Arial"/>
        <family val="2"/>
        <charset val="1"/>
      </rPr>
      <t>th</t>
    </r>
    <r>
      <rPr>
        <sz val="7"/>
        <color indexed="8"/>
        <rFont val="Arial"/>
        <family val="2"/>
        <charset val="1"/>
      </rPr>
      <t xml:space="preserve"> lvl (30)Rune Paper 5</t>
    </r>
    <r>
      <rPr>
        <vertAlign val="superscript"/>
        <sz val="7"/>
        <color indexed="8"/>
        <rFont val="Arial"/>
        <family val="2"/>
        <charset val="1"/>
      </rPr>
      <t>th</t>
    </r>
    <r>
      <rPr>
        <sz val="7"/>
        <color indexed="8"/>
        <rFont val="Arial"/>
        <family val="2"/>
        <charset val="1"/>
      </rPr>
      <t xml:space="preserve"> lvl (30)Rune Paper 5</t>
    </r>
    <r>
      <rPr>
        <vertAlign val="superscript"/>
        <sz val="7"/>
        <color indexed="8"/>
        <rFont val="Arial"/>
        <family val="2"/>
        <charset val="1"/>
      </rPr>
      <t>th</t>
    </r>
    <r>
      <rPr>
        <sz val="7"/>
        <color indexed="8"/>
        <rFont val="Arial"/>
        <family val="2"/>
        <charset val="1"/>
      </rPr>
      <t xml:space="preserve"> lvl (30)Rune Paper 5</t>
    </r>
    <r>
      <rPr>
        <vertAlign val="superscript"/>
        <sz val="7"/>
        <color indexed="8"/>
        <rFont val="Arial"/>
        <family val="2"/>
        <charset val="1"/>
      </rPr>
      <t>th</t>
    </r>
    <r>
      <rPr>
        <sz val="7"/>
        <color indexed="8"/>
        <rFont val="Arial"/>
        <family val="2"/>
        <charset val="1"/>
      </rPr>
      <t xml:space="preserve"> lvl (30)Rune Paper 5</t>
    </r>
    <r>
      <rPr>
        <vertAlign val="superscript"/>
        <sz val="7"/>
        <color indexed="8"/>
        <rFont val="Arial"/>
        <family val="2"/>
        <charset val="1"/>
      </rPr>
      <t>th</t>
    </r>
    <r>
      <rPr>
        <sz val="7"/>
        <color indexed="8"/>
        <rFont val="Arial"/>
        <family val="2"/>
        <charset val="1"/>
      </rPr>
      <t xml:space="preserve"> lvl (30)Rune Paper 5</t>
    </r>
    <r>
      <rPr>
        <vertAlign val="superscript"/>
        <sz val="7"/>
        <color indexed="8"/>
        <rFont val="Arial"/>
        <family val="2"/>
        <charset val="1"/>
      </rPr>
      <t>th</t>
    </r>
    <r>
      <rPr>
        <sz val="7"/>
        <color indexed="8"/>
        <rFont val="Arial"/>
        <family val="2"/>
        <charset val="1"/>
      </rPr>
      <t xml:space="preserve"> lvl (30)Rune Paper 5</t>
    </r>
    <r>
      <rPr>
        <vertAlign val="superscript"/>
        <sz val="7"/>
        <color indexed="8"/>
        <rFont val="Arial"/>
        <family val="2"/>
        <charset val="1"/>
      </rPr>
      <t>th</t>
    </r>
    <r>
      <rPr>
        <sz val="7"/>
        <color indexed="8"/>
        <rFont val="Arial"/>
        <family val="2"/>
        <charset val="1"/>
      </rPr>
      <t xml:space="preserve"> lvl (30)Rune Paper 5</t>
    </r>
    <r>
      <rPr>
        <vertAlign val="superscript"/>
        <sz val="7"/>
        <color indexed="8"/>
        <rFont val="Arial"/>
        <family val="2"/>
        <charset val="1"/>
      </rPr>
      <t>th</t>
    </r>
    <r>
      <rPr>
        <sz val="7"/>
        <color indexed="8"/>
        <rFont val="Arial"/>
        <family val="2"/>
        <charset val="1"/>
      </rPr>
      <t xml:space="preserve"> lvl (30)Rune Paper 5</t>
    </r>
    <r>
      <rPr>
        <vertAlign val="superscript"/>
        <sz val="7"/>
        <color indexed="8"/>
        <rFont val="Arial"/>
        <family val="2"/>
        <charset val="1"/>
      </rPr>
      <t>th</t>
    </r>
    <r>
      <rPr>
        <sz val="7"/>
        <color indexed="8"/>
        <rFont val="Arial"/>
        <family val="2"/>
        <charset val="1"/>
      </rPr>
      <t xml:space="preserve"> lvl (30)Rune Paper 5</t>
    </r>
    <r>
      <rPr>
        <vertAlign val="superscript"/>
        <sz val="7"/>
        <color indexed="8"/>
        <rFont val="Arial"/>
        <family val="2"/>
        <charset val="1"/>
      </rPr>
      <t>th</t>
    </r>
    <r>
      <rPr>
        <sz val="7"/>
        <color indexed="8"/>
        <rFont val="Arial"/>
        <family val="2"/>
        <charset val="1"/>
      </rPr>
      <t xml:space="preserve"> lvl (30)Rune Paper 5</t>
    </r>
    <r>
      <rPr>
        <vertAlign val="superscript"/>
        <sz val="7"/>
        <color indexed="8"/>
        <rFont val="Arial"/>
        <family val="2"/>
        <charset val="1"/>
      </rPr>
      <t>th</t>
    </r>
    <r>
      <rPr>
        <sz val="7"/>
        <color indexed="8"/>
        <rFont val="Arial"/>
        <family val="2"/>
        <charset val="1"/>
      </rPr>
      <t xml:space="preserve"> lvl (30)Rune Paper 5</t>
    </r>
    <r>
      <rPr>
        <vertAlign val="superscript"/>
        <sz val="7"/>
        <color indexed="8"/>
        <rFont val="Arial"/>
        <family val="2"/>
        <charset val="1"/>
      </rPr>
      <t>th</t>
    </r>
    <r>
      <rPr>
        <sz val="7"/>
        <color indexed="8"/>
        <rFont val="Arial"/>
        <family val="2"/>
        <charset val="1"/>
      </rPr>
      <t xml:space="preserve"> lvl (30)Rune Paper 5</t>
    </r>
    <r>
      <rPr>
        <vertAlign val="superscript"/>
        <sz val="7"/>
        <color indexed="8"/>
        <rFont val="Arial"/>
        <family val="2"/>
        <charset val="1"/>
      </rPr>
      <t>th</t>
    </r>
    <r>
      <rPr>
        <sz val="7"/>
        <color indexed="8"/>
        <rFont val="Arial"/>
        <family val="2"/>
        <charset val="1"/>
      </rPr>
      <t xml:space="preserve"> lvl (30)Rune Paper 5</t>
    </r>
    <r>
      <rPr>
        <vertAlign val="superscript"/>
        <sz val="7"/>
        <color indexed="8"/>
        <rFont val="Arial"/>
        <family val="2"/>
        <charset val="1"/>
      </rPr>
      <t>th</t>
    </r>
    <r>
      <rPr>
        <sz val="7"/>
        <color indexed="8"/>
        <rFont val="Arial"/>
        <family val="2"/>
        <charset val="1"/>
      </rPr>
      <t xml:space="preserve"> lvl (30)Rune Paper 5</t>
    </r>
    <r>
      <rPr>
        <vertAlign val="superscript"/>
        <sz val="7"/>
        <color indexed="8"/>
        <rFont val="Arial"/>
        <family val="2"/>
        <charset val="1"/>
      </rPr>
      <t>th</t>
    </r>
    <r>
      <rPr>
        <sz val="7"/>
        <color indexed="8"/>
        <rFont val="Arial"/>
        <family val="2"/>
        <charset val="1"/>
      </rPr>
      <t xml:space="preserve"> lvl (30)Rune Paper 5</t>
    </r>
    <r>
      <rPr>
        <vertAlign val="superscript"/>
        <sz val="7"/>
        <color indexed="8"/>
        <rFont val="Arial"/>
        <family val="2"/>
        <charset val="1"/>
      </rPr>
      <t>th</t>
    </r>
    <r>
      <rPr>
        <sz val="7"/>
        <color indexed="8"/>
        <rFont val="Arial"/>
        <family val="2"/>
        <charset val="1"/>
      </rPr>
      <t xml:space="preserve"> lvl (30)Rune Paper 5</t>
    </r>
    <r>
      <rPr>
        <vertAlign val="superscript"/>
        <sz val="7"/>
        <color indexed="8"/>
        <rFont val="Arial"/>
        <family val="2"/>
        <charset val="1"/>
      </rPr>
      <t>th</t>
    </r>
    <r>
      <rPr>
        <sz val="7"/>
        <color indexed="8"/>
        <rFont val="Arial"/>
        <family val="2"/>
        <charset val="1"/>
      </rPr>
      <t xml:space="preserve"> lvl (30)</t>
    </r>
  </si>
  <si>
    <r>
      <t xml:space="preserve">Rune Paper </t>
    </r>
    <r>
      <rPr>
        <vertAlign val="superscript"/>
        <sz val="7"/>
        <color indexed="8"/>
        <rFont val="Arial"/>
        <family val="2"/>
        <charset val="1"/>
      </rPr>
      <t>3rd</t>
    </r>
    <r>
      <rPr>
        <sz val="7"/>
        <color indexed="8"/>
        <rFont val="Arial"/>
        <family val="2"/>
        <charset val="1"/>
      </rPr>
      <t xml:space="preserve"> lvl (40)Rune Paper </t>
    </r>
    <r>
      <rPr>
        <vertAlign val="superscript"/>
        <sz val="7"/>
        <color indexed="8"/>
        <rFont val="Arial"/>
        <family val="2"/>
        <charset val="1"/>
      </rPr>
      <t>3rd</t>
    </r>
    <r>
      <rPr>
        <sz val="7"/>
        <color indexed="8"/>
        <rFont val="Arial"/>
        <family val="2"/>
        <charset val="1"/>
      </rPr>
      <t xml:space="preserve"> lvl (40)Rune Paper </t>
    </r>
    <r>
      <rPr>
        <vertAlign val="superscript"/>
        <sz val="7"/>
        <color indexed="8"/>
        <rFont val="Arial"/>
        <family val="2"/>
        <charset val="1"/>
      </rPr>
      <t>3rd</t>
    </r>
    <r>
      <rPr>
        <sz val="7"/>
        <color indexed="8"/>
        <rFont val="Arial"/>
        <family val="2"/>
        <charset val="1"/>
      </rPr>
      <t xml:space="preserve"> lvl (40)Rune Paper </t>
    </r>
    <r>
      <rPr>
        <vertAlign val="superscript"/>
        <sz val="7"/>
        <color indexed="8"/>
        <rFont val="Arial"/>
        <family val="2"/>
        <charset val="1"/>
      </rPr>
      <t>3rd</t>
    </r>
    <r>
      <rPr>
        <sz val="7"/>
        <color indexed="8"/>
        <rFont val="Arial"/>
        <family val="2"/>
        <charset val="1"/>
      </rPr>
      <t xml:space="preserve"> lvl (40)Rune Paper </t>
    </r>
    <r>
      <rPr>
        <vertAlign val="superscript"/>
        <sz val="7"/>
        <color indexed="8"/>
        <rFont val="Arial"/>
        <family val="2"/>
        <charset val="1"/>
      </rPr>
      <t>3rd</t>
    </r>
    <r>
      <rPr>
        <sz val="7"/>
        <color indexed="8"/>
        <rFont val="Arial"/>
        <family val="2"/>
        <charset val="1"/>
      </rPr>
      <t xml:space="preserve"> lvl (40)Rune Paper </t>
    </r>
    <r>
      <rPr>
        <vertAlign val="superscript"/>
        <sz val="7"/>
        <color indexed="8"/>
        <rFont val="Arial"/>
        <family val="2"/>
        <charset val="1"/>
      </rPr>
      <t>3rd</t>
    </r>
    <r>
      <rPr>
        <sz val="7"/>
        <color indexed="8"/>
        <rFont val="Arial"/>
        <family val="2"/>
        <charset val="1"/>
      </rPr>
      <t xml:space="preserve"> lvl (40)Rune Paper </t>
    </r>
    <r>
      <rPr>
        <vertAlign val="superscript"/>
        <sz val="7"/>
        <color indexed="8"/>
        <rFont val="Arial"/>
        <family val="2"/>
        <charset val="1"/>
      </rPr>
      <t>3rd</t>
    </r>
    <r>
      <rPr>
        <sz val="7"/>
        <color indexed="8"/>
        <rFont val="Arial"/>
        <family val="2"/>
        <charset val="1"/>
      </rPr>
      <t xml:space="preserve"> lvl (40)Rune Paper </t>
    </r>
    <r>
      <rPr>
        <vertAlign val="superscript"/>
        <sz val="7"/>
        <color indexed="8"/>
        <rFont val="Arial"/>
        <family val="2"/>
        <charset val="1"/>
      </rPr>
      <t>3rd</t>
    </r>
    <r>
      <rPr>
        <sz val="7"/>
        <color indexed="8"/>
        <rFont val="Arial"/>
        <family val="2"/>
        <charset val="1"/>
      </rPr>
      <t xml:space="preserve"> lvl (40)Rune Paper </t>
    </r>
    <r>
      <rPr>
        <vertAlign val="superscript"/>
        <sz val="7"/>
        <color indexed="8"/>
        <rFont val="Arial"/>
        <family val="2"/>
        <charset val="1"/>
      </rPr>
      <t>3rd</t>
    </r>
    <r>
      <rPr>
        <sz val="7"/>
        <color indexed="8"/>
        <rFont val="Arial"/>
        <family val="2"/>
        <charset val="1"/>
      </rPr>
      <t xml:space="preserve"> lvl (40)Rune Paper </t>
    </r>
    <r>
      <rPr>
        <vertAlign val="superscript"/>
        <sz val="7"/>
        <color indexed="8"/>
        <rFont val="Arial"/>
        <family val="2"/>
        <charset val="1"/>
      </rPr>
      <t>3rd</t>
    </r>
    <r>
      <rPr>
        <sz val="7"/>
        <color indexed="8"/>
        <rFont val="Arial"/>
        <family val="2"/>
        <charset val="1"/>
      </rPr>
      <t xml:space="preserve"> lvl (40)Rune Paper </t>
    </r>
    <r>
      <rPr>
        <vertAlign val="superscript"/>
        <sz val="7"/>
        <color indexed="8"/>
        <rFont val="Arial"/>
        <family val="2"/>
        <charset val="1"/>
      </rPr>
      <t>3rd</t>
    </r>
    <r>
      <rPr>
        <sz val="7"/>
        <color indexed="8"/>
        <rFont val="Arial"/>
        <family val="2"/>
        <charset val="1"/>
      </rPr>
      <t xml:space="preserve"> lvl (40)Rune Paper </t>
    </r>
    <r>
      <rPr>
        <vertAlign val="superscript"/>
        <sz val="7"/>
        <color indexed="8"/>
        <rFont val="Arial"/>
        <family val="2"/>
        <charset val="1"/>
      </rPr>
      <t>3rd</t>
    </r>
    <r>
      <rPr>
        <sz val="7"/>
        <color indexed="8"/>
        <rFont val="Arial"/>
        <family val="2"/>
        <charset val="1"/>
      </rPr>
      <t xml:space="preserve"> lvl (40)Rune Paper </t>
    </r>
    <r>
      <rPr>
        <vertAlign val="superscript"/>
        <sz val="7"/>
        <color indexed="8"/>
        <rFont val="Arial"/>
        <family val="2"/>
        <charset val="1"/>
      </rPr>
      <t>3rd</t>
    </r>
    <r>
      <rPr>
        <sz val="7"/>
        <color indexed="8"/>
        <rFont val="Arial"/>
        <family val="2"/>
        <charset val="1"/>
      </rPr>
      <t xml:space="preserve"> lvl (40)Rune Paper </t>
    </r>
    <r>
      <rPr>
        <vertAlign val="superscript"/>
        <sz val="7"/>
        <color indexed="8"/>
        <rFont val="Arial"/>
        <family val="2"/>
        <charset val="1"/>
      </rPr>
      <t>3rd</t>
    </r>
    <r>
      <rPr>
        <sz val="7"/>
        <color indexed="8"/>
        <rFont val="Arial"/>
        <family val="2"/>
        <charset val="1"/>
      </rPr>
      <t xml:space="preserve"> lvl (40)Rune Paper </t>
    </r>
    <r>
      <rPr>
        <vertAlign val="superscript"/>
        <sz val="7"/>
        <color indexed="8"/>
        <rFont val="Arial"/>
        <family val="2"/>
        <charset val="1"/>
      </rPr>
      <t>3rd</t>
    </r>
    <r>
      <rPr>
        <sz val="7"/>
        <color indexed="8"/>
        <rFont val="Arial"/>
        <family val="2"/>
        <charset val="1"/>
      </rPr>
      <t xml:space="preserve"> lvl (40)Rune Paper </t>
    </r>
    <r>
      <rPr>
        <vertAlign val="superscript"/>
        <sz val="7"/>
        <color indexed="8"/>
        <rFont val="Arial"/>
        <family val="2"/>
        <charset val="1"/>
      </rPr>
      <t>3rd</t>
    </r>
    <r>
      <rPr>
        <sz val="7"/>
        <color indexed="8"/>
        <rFont val="Arial"/>
        <family val="2"/>
        <charset val="1"/>
      </rPr>
      <t xml:space="preserve"> lvl (40)Rune Paper </t>
    </r>
    <r>
      <rPr>
        <vertAlign val="superscript"/>
        <sz val="7"/>
        <color indexed="8"/>
        <rFont val="Arial"/>
        <family val="2"/>
        <charset val="1"/>
      </rPr>
      <t>3rd</t>
    </r>
    <r>
      <rPr>
        <sz val="7"/>
        <color indexed="8"/>
        <rFont val="Arial"/>
        <family val="2"/>
        <charset val="1"/>
      </rPr>
      <t xml:space="preserve"> lvl (40)Rune Paper </t>
    </r>
    <r>
      <rPr>
        <vertAlign val="superscript"/>
        <sz val="7"/>
        <color indexed="8"/>
        <rFont val="Arial"/>
        <family val="2"/>
        <charset val="1"/>
      </rPr>
      <t>3rd</t>
    </r>
    <r>
      <rPr>
        <sz val="7"/>
        <color indexed="8"/>
        <rFont val="Arial"/>
        <family val="2"/>
        <charset val="1"/>
      </rPr>
      <t xml:space="preserve"> lvl (40)Rune Paper </t>
    </r>
    <r>
      <rPr>
        <vertAlign val="superscript"/>
        <sz val="7"/>
        <color indexed="8"/>
        <rFont val="Arial"/>
        <family val="2"/>
        <charset val="1"/>
      </rPr>
      <t>3rd</t>
    </r>
    <r>
      <rPr>
        <sz val="7"/>
        <color indexed="8"/>
        <rFont val="Arial"/>
        <family val="2"/>
        <charset val="1"/>
      </rPr>
      <t xml:space="preserve"> lvl (40)Rune Paper </t>
    </r>
    <r>
      <rPr>
        <vertAlign val="superscript"/>
        <sz val="7"/>
        <color indexed="8"/>
        <rFont val="Arial"/>
        <family val="2"/>
        <charset val="1"/>
      </rPr>
      <t>3rd</t>
    </r>
    <r>
      <rPr>
        <sz val="7"/>
        <color indexed="8"/>
        <rFont val="Arial"/>
        <family val="2"/>
        <charset val="1"/>
      </rPr>
      <t xml:space="preserve"> lvl (40)Rune Paper </t>
    </r>
    <r>
      <rPr>
        <vertAlign val="superscript"/>
        <sz val="7"/>
        <color indexed="8"/>
        <rFont val="Arial"/>
        <family val="2"/>
        <charset val="1"/>
      </rPr>
      <t>3rd</t>
    </r>
    <r>
      <rPr>
        <sz val="7"/>
        <color indexed="8"/>
        <rFont val="Arial"/>
        <family val="2"/>
        <charset val="1"/>
      </rPr>
      <t xml:space="preserve"> lvl (40)Rune Paper </t>
    </r>
    <r>
      <rPr>
        <vertAlign val="superscript"/>
        <sz val="7"/>
        <color indexed="8"/>
        <rFont val="Arial"/>
        <family val="2"/>
        <charset val="1"/>
      </rPr>
      <t>3rd</t>
    </r>
    <r>
      <rPr>
        <sz val="7"/>
        <color indexed="8"/>
        <rFont val="Arial"/>
        <family val="2"/>
        <charset val="1"/>
      </rPr>
      <t xml:space="preserve"> lvl (40)Rune Paper </t>
    </r>
    <r>
      <rPr>
        <vertAlign val="superscript"/>
        <sz val="7"/>
        <color indexed="8"/>
        <rFont val="Arial"/>
        <family val="2"/>
        <charset val="1"/>
      </rPr>
      <t>3rd</t>
    </r>
    <r>
      <rPr>
        <sz val="7"/>
        <color indexed="8"/>
        <rFont val="Arial"/>
        <family val="2"/>
        <charset val="1"/>
      </rPr>
      <t xml:space="preserve"> lvl (40)Rune Paper </t>
    </r>
    <r>
      <rPr>
        <vertAlign val="superscript"/>
        <sz val="7"/>
        <color indexed="8"/>
        <rFont val="Arial"/>
        <family val="2"/>
        <charset val="1"/>
      </rPr>
      <t>3rd</t>
    </r>
    <r>
      <rPr>
        <sz val="7"/>
        <color indexed="8"/>
        <rFont val="Arial"/>
        <family val="2"/>
        <charset val="1"/>
      </rPr>
      <t xml:space="preserve"> lvl (40)Rune Paper </t>
    </r>
    <r>
      <rPr>
        <vertAlign val="superscript"/>
        <sz val="7"/>
        <color indexed="8"/>
        <rFont val="Arial"/>
        <family val="2"/>
        <charset val="1"/>
      </rPr>
      <t>3rd</t>
    </r>
    <r>
      <rPr>
        <sz val="7"/>
        <color indexed="8"/>
        <rFont val="Arial"/>
        <family val="2"/>
        <charset val="1"/>
      </rPr>
      <t xml:space="preserve"> lvl (40)Rune Paper </t>
    </r>
    <r>
      <rPr>
        <vertAlign val="superscript"/>
        <sz val="7"/>
        <color indexed="8"/>
        <rFont val="Arial"/>
        <family val="2"/>
        <charset val="1"/>
      </rPr>
      <t>3rd</t>
    </r>
    <r>
      <rPr>
        <sz val="7"/>
        <color indexed="8"/>
        <rFont val="Arial"/>
        <family val="2"/>
        <charset val="1"/>
      </rPr>
      <t xml:space="preserve"> lvl (40)Rune Paper </t>
    </r>
    <r>
      <rPr>
        <vertAlign val="superscript"/>
        <sz val="7"/>
        <color indexed="8"/>
        <rFont val="Arial"/>
        <family val="2"/>
        <charset val="1"/>
      </rPr>
      <t>3rd</t>
    </r>
    <r>
      <rPr>
        <sz val="7"/>
        <color indexed="8"/>
        <rFont val="Arial"/>
        <family val="2"/>
        <charset val="1"/>
      </rPr>
      <t xml:space="preserve"> lvl (40)Rune Paper </t>
    </r>
    <r>
      <rPr>
        <vertAlign val="superscript"/>
        <sz val="7"/>
        <color indexed="8"/>
        <rFont val="Arial"/>
        <family val="2"/>
        <charset val="1"/>
      </rPr>
      <t>3rd</t>
    </r>
    <r>
      <rPr>
        <sz val="7"/>
        <color indexed="8"/>
        <rFont val="Arial"/>
        <family val="2"/>
        <charset val="1"/>
      </rPr>
      <t xml:space="preserve"> lvl (40)Rune Paper </t>
    </r>
    <r>
      <rPr>
        <vertAlign val="superscript"/>
        <sz val="7"/>
        <color indexed="8"/>
        <rFont val="Arial"/>
        <family val="2"/>
        <charset val="1"/>
      </rPr>
      <t>3rd</t>
    </r>
    <r>
      <rPr>
        <sz val="7"/>
        <color indexed="8"/>
        <rFont val="Arial"/>
        <family val="2"/>
        <charset val="1"/>
      </rPr>
      <t xml:space="preserve"> lvl (40)Rune Paper </t>
    </r>
    <r>
      <rPr>
        <vertAlign val="superscript"/>
        <sz val="7"/>
        <color indexed="8"/>
        <rFont val="Arial"/>
        <family val="2"/>
        <charset val="1"/>
      </rPr>
      <t>3rd</t>
    </r>
    <r>
      <rPr>
        <sz val="7"/>
        <color indexed="8"/>
        <rFont val="Arial"/>
        <family val="2"/>
        <charset val="1"/>
      </rPr>
      <t xml:space="preserve"> lvl (40)Rune Paper </t>
    </r>
    <r>
      <rPr>
        <vertAlign val="superscript"/>
        <sz val="7"/>
        <color indexed="8"/>
        <rFont val="Arial"/>
        <family val="2"/>
        <charset val="1"/>
      </rPr>
      <t>3rd</t>
    </r>
    <r>
      <rPr>
        <sz val="7"/>
        <color indexed="8"/>
        <rFont val="Arial"/>
        <family val="2"/>
        <charset val="1"/>
      </rPr>
      <t xml:space="preserve"> lvl (40)Rune Paper </t>
    </r>
    <r>
      <rPr>
        <vertAlign val="superscript"/>
        <sz val="7"/>
        <color indexed="8"/>
        <rFont val="Arial"/>
        <family val="2"/>
        <charset val="1"/>
      </rPr>
      <t>3rd</t>
    </r>
    <r>
      <rPr>
        <sz val="7"/>
        <color indexed="8"/>
        <rFont val="Arial"/>
        <family val="2"/>
        <charset val="1"/>
      </rPr>
      <t xml:space="preserve"> lvl (40)Rune Paper </t>
    </r>
    <r>
      <rPr>
        <vertAlign val="superscript"/>
        <sz val="7"/>
        <color indexed="8"/>
        <rFont val="Arial"/>
        <family val="2"/>
        <charset val="1"/>
      </rPr>
      <t>3rd</t>
    </r>
    <r>
      <rPr>
        <sz val="7"/>
        <color indexed="8"/>
        <rFont val="Arial"/>
        <family val="2"/>
        <charset val="1"/>
      </rPr>
      <t xml:space="preserve"> lvl (40)Rune Paper </t>
    </r>
    <r>
      <rPr>
        <vertAlign val="superscript"/>
        <sz val="7"/>
        <color indexed="8"/>
        <rFont val="Arial"/>
        <family val="2"/>
        <charset val="1"/>
      </rPr>
      <t>3rd</t>
    </r>
    <r>
      <rPr>
        <sz val="7"/>
        <color indexed="8"/>
        <rFont val="Arial"/>
        <family val="2"/>
        <charset val="1"/>
      </rPr>
      <t xml:space="preserve"> lvl (40)Rune Paper </t>
    </r>
    <r>
      <rPr>
        <vertAlign val="superscript"/>
        <sz val="7"/>
        <color indexed="8"/>
        <rFont val="Arial"/>
        <family val="2"/>
        <charset val="1"/>
      </rPr>
      <t>3rd</t>
    </r>
    <r>
      <rPr>
        <sz val="7"/>
        <color indexed="8"/>
        <rFont val="Arial"/>
        <family val="2"/>
        <charset val="1"/>
      </rPr>
      <t xml:space="preserve"> lvl (40)Rune Paper </t>
    </r>
    <r>
      <rPr>
        <vertAlign val="superscript"/>
        <sz val="7"/>
        <color indexed="8"/>
        <rFont val="Arial"/>
        <family val="2"/>
        <charset val="1"/>
      </rPr>
      <t>3rd</t>
    </r>
    <r>
      <rPr>
        <sz val="7"/>
        <color indexed="8"/>
        <rFont val="Arial"/>
        <family val="2"/>
        <charset val="1"/>
      </rPr>
      <t xml:space="preserve"> lvl (40)</t>
    </r>
  </si>
  <si>
    <r>
      <t>Rune Paper 1</t>
    </r>
    <r>
      <rPr>
        <vertAlign val="superscript"/>
        <sz val="7"/>
        <color indexed="8"/>
        <rFont val="Arial"/>
        <family val="2"/>
        <charset val="1"/>
      </rPr>
      <t>st</t>
    </r>
    <r>
      <rPr>
        <sz val="7"/>
        <color indexed="8"/>
        <rFont val="Arial"/>
        <family val="2"/>
        <charset val="1"/>
      </rPr>
      <t xml:space="preserve"> lvl (0)Rune Paper 1</t>
    </r>
    <r>
      <rPr>
        <vertAlign val="superscript"/>
        <sz val="7"/>
        <color indexed="8"/>
        <rFont val="Arial"/>
        <family val="2"/>
        <charset val="1"/>
      </rPr>
      <t>st</t>
    </r>
    <r>
      <rPr>
        <sz val="7"/>
        <color indexed="8"/>
        <rFont val="Arial"/>
        <family val="2"/>
        <charset val="1"/>
      </rPr>
      <t xml:space="preserve"> lvl (0)Rune Paper 1</t>
    </r>
    <r>
      <rPr>
        <vertAlign val="superscript"/>
        <sz val="7"/>
        <color indexed="8"/>
        <rFont val="Arial"/>
        <family val="2"/>
        <charset val="1"/>
      </rPr>
      <t>st</t>
    </r>
    <r>
      <rPr>
        <sz val="7"/>
        <color indexed="8"/>
        <rFont val="Arial"/>
        <family val="2"/>
        <charset val="1"/>
      </rPr>
      <t xml:space="preserve"> lvl (0)Rune Paper 1</t>
    </r>
    <r>
      <rPr>
        <vertAlign val="superscript"/>
        <sz val="7"/>
        <color indexed="8"/>
        <rFont val="Arial"/>
        <family val="2"/>
        <charset val="1"/>
      </rPr>
      <t>st</t>
    </r>
    <r>
      <rPr>
        <sz val="7"/>
        <color indexed="8"/>
        <rFont val="Arial"/>
        <family val="2"/>
        <charset val="1"/>
      </rPr>
      <t xml:space="preserve"> lvl (0)Rune Paper 1</t>
    </r>
    <r>
      <rPr>
        <vertAlign val="superscript"/>
        <sz val="7"/>
        <color indexed="8"/>
        <rFont val="Arial"/>
        <family val="2"/>
        <charset val="1"/>
      </rPr>
      <t>st</t>
    </r>
    <r>
      <rPr>
        <sz val="7"/>
        <color indexed="8"/>
        <rFont val="Arial"/>
        <family val="2"/>
        <charset val="1"/>
      </rPr>
      <t xml:space="preserve"> lvl (0)Rune Paper 1</t>
    </r>
    <r>
      <rPr>
        <vertAlign val="superscript"/>
        <sz val="7"/>
        <color indexed="8"/>
        <rFont val="Arial"/>
        <family val="2"/>
        <charset val="1"/>
      </rPr>
      <t>st</t>
    </r>
    <r>
      <rPr>
        <sz val="7"/>
        <color indexed="8"/>
        <rFont val="Arial"/>
        <family val="2"/>
        <charset val="1"/>
      </rPr>
      <t xml:space="preserve"> lvl (0)Rune Paper 1</t>
    </r>
    <r>
      <rPr>
        <vertAlign val="superscript"/>
        <sz val="7"/>
        <color indexed="8"/>
        <rFont val="Arial"/>
        <family val="2"/>
        <charset val="1"/>
      </rPr>
      <t>st</t>
    </r>
    <r>
      <rPr>
        <sz val="7"/>
        <color indexed="8"/>
        <rFont val="Arial"/>
        <family val="2"/>
        <charset val="1"/>
      </rPr>
      <t xml:space="preserve"> lvl (0)Rune Paper 1</t>
    </r>
    <r>
      <rPr>
        <vertAlign val="superscript"/>
        <sz val="7"/>
        <color indexed="8"/>
        <rFont val="Arial"/>
        <family val="2"/>
        <charset val="1"/>
      </rPr>
      <t>st</t>
    </r>
    <r>
      <rPr>
        <sz val="7"/>
        <color indexed="8"/>
        <rFont val="Arial"/>
        <family val="2"/>
        <charset val="1"/>
      </rPr>
      <t xml:space="preserve"> lvl (0)Rune Paper 1</t>
    </r>
    <r>
      <rPr>
        <vertAlign val="superscript"/>
        <sz val="7"/>
        <color indexed="8"/>
        <rFont val="Arial"/>
        <family val="2"/>
        <charset val="1"/>
      </rPr>
      <t>st</t>
    </r>
    <r>
      <rPr>
        <sz val="7"/>
        <color indexed="8"/>
        <rFont val="Arial"/>
        <family val="2"/>
        <charset val="1"/>
      </rPr>
      <t xml:space="preserve"> lvl (0)Rune Paper 1</t>
    </r>
    <r>
      <rPr>
        <vertAlign val="superscript"/>
        <sz val="7"/>
        <color indexed="8"/>
        <rFont val="Arial"/>
        <family val="2"/>
        <charset val="1"/>
      </rPr>
      <t>st</t>
    </r>
    <r>
      <rPr>
        <sz val="7"/>
        <color indexed="8"/>
        <rFont val="Arial"/>
        <family val="2"/>
        <charset val="1"/>
      </rPr>
      <t xml:space="preserve"> lvl (0)Rune Paper 1</t>
    </r>
    <r>
      <rPr>
        <vertAlign val="superscript"/>
        <sz val="7"/>
        <color indexed="8"/>
        <rFont val="Arial"/>
        <family val="2"/>
        <charset val="1"/>
      </rPr>
      <t>st</t>
    </r>
    <r>
      <rPr>
        <sz val="7"/>
        <color indexed="8"/>
        <rFont val="Arial"/>
        <family val="2"/>
        <charset val="1"/>
      </rPr>
      <t xml:space="preserve"> lvl (0)Rune Paper 1</t>
    </r>
    <r>
      <rPr>
        <vertAlign val="superscript"/>
        <sz val="7"/>
        <color indexed="8"/>
        <rFont val="Arial"/>
        <family val="2"/>
        <charset val="1"/>
      </rPr>
      <t>st</t>
    </r>
    <r>
      <rPr>
        <sz val="7"/>
        <color indexed="8"/>
        <rFont val="Arial"/>
        <family val="2"/>
        <charset val="1"/>
      </rPr>
      <t xml:space="preserve"> lvl (0)Rune Paper 1</t>
    </r>
    <r>
      <rPr>
        <vertAlign val="superscript"/>
        <sz val="7"/>
        <color indexed="8"/>
        <rFont val="Arial"/>
        <family val="2"/>
        <charset val="1"/>
      </rPr>
      <t>st</t>
    </r>
    <r>
      <rPr>
        <sz val="7"/>
        <color indexed="8"/>
        <rFont val="Arial"/>
        <family val="2"/>
        <charset val="1"/>
      </rPr>
      <t xml:space="preserve"> lvl (0)Rune Paper 1</t>
    </r>
    <r>
      <rPr>
        <vertAlign val="superscript"/>
        <sz val="7"/>
        <color indexed="8"/>
        <rFont val="Arial"/>
        <family val="2"/>
        <charset val="1"/>
      </rPr>
      <t>st</t>
    </r>
    <r>
      <rPr>
        <sz val="7"/>
        <color indexed="8"/>
        <rFont val="Arial"/>
        <family val="2"/>
        <charset val="1"/>
      </rPr>
      <t xml:space="preserve"> lvl (0)Rune Paper 1</t>
    </r>
    <r>
      <rPr>
        <vertAlign val="superscript"/>
        <sz val="7"/>
        <color indexed="8"/>
        <rFont val="Arial"/>
        <family val="2"/>
        <charset val="1"/>
      </rPr>
      <t>st</t>
    </r>
    <r>
      <rPr>
        <sz val="7"/>
        <color indexed="8"/>
        <rFont val="Arial"/>
        <family val="2"/>
        <charset val="1"/>
      </rPr>
      <t xml:space="preserve"> lvl (0)Rune Paper 1</t>
    </r>
    <r>
      <rPr>
        <vertAlign val="superscript"/>
        <sz val="7"/>
        <color indexed="8"/>
        <rFont val="Arial"/>
        <family val="2"/>
        <charset val="1"/>
      </rPr>
      <t>st</t>
    </r>
    <r>
      <rPr>
        <sz val="7"/>
        <color indexed="8"/>
        <rFont val="Arial"/>
        <family val="2"/>
        <charset val="1"/>
      </rPr>
      <t xml:space="preserve"> lvl (0)Rune Paper 1</t>
    </r>
    <r>
      <rPr>
        <vertAlign val="superscript"/>
        <sz val="7"/>
        <color indexed="8"/>
        <rFont val="Arial"/>
        <family val="2"/>
        <charset val="1"/>
      </rPr>
      <t>st</t>
    </r>
    <r>
      <rPr>
        <sz val="7"/>
        <color indexed="8"/>
        <rFont val="Arial"/>
        <family val="2"/>
        <charset val="1"/>
      </rPr>
      <t xml:space="preserve"> lvl (0)Rune Paper 1</t>
    </r>
    <r>
      <rPr>
        <vertAlign val="superscript"/>
        <sz val="7"/>
        <color indexed="8"/>
        <rFont val="Arial"/>
        <family val="2"/>
        <charset val="1"/>
      </rPr>
      <t>st</t>
    </r>
    <r>
      <rPr>
        <sz val="7"/>
        <color indexed="8"/>
        <rFont val="Arial"/>
        <family val="2"/>
        <charset val="1"/>
      </rPr>
      <t xml:space="preserve"> lvl (0)Rune Paper 1</t>
    </r>
    <r>
      <rPr>
        <vertAlign val="superscript"/>
        <sz val="7"/>
        <color indexed="8"/>
        <rFont val="Arial"/>
        <family val="2"/>
        <charset val="1"/>
      </rPr>
      <t>st</t>
    </r>
    <r>
      <rPr>
        <sz val="7"/>
        <color indexed="8"/>
        <rFont val="Arial"/>
        <family val="2"/>
        <charset val="1"/>
      </rPr>
      <t xml:space="preserve"> lvl (0)Rune Paper 1</t>
    </r>
    <r>
      <rPr>
        <vertAlign val="superscript"/>
        <sz val="7"/>
        <color indexed="8"/>
        <rFont val="Arial"/>
        <family val="2"/>
        <charset val="1"/>
      </rPr>
      <t>st</t>
    </r>
    <r>
      <rPr>
        <sz val="7"/>
        <color indexed="8"/>
        <rFont val="Arial"/>
        <family val="2"/>
        <charset val="1"/>
      </rPr>
      <t xml:space="preserve"> lvl (0)Rune Paper 1</t>
    </r>
    <r>
      <rPr>
        <vertAlign val="superscript"/>
        <sz val="7"/>
        <color indexed="8"/>
        <rFont val="Arial"/>
        <family val="2"/>
        <charset val="1"/>
      </rPr>
      <t>st</t>
    </r>
    <r>
      <rPr>
        <sz val="7"/>
        <color indexed="8"/>
        <rFont val="Arial"/>
        <family val="2"/>
        <charset val="1"/>
      </rPr>
      <t xml:space="preserve"> lvl (0)Rune Paper 1</t>
    </r>
    <r>
      <rPr>
        <vertAlign val="superscript"/>
        <sz val="7"/>
        <color indexed="8"/>
        <rFont val="Arial"/>
        <family val="2"/>
        <charset val="1"/>
      </rPr>
      <t>st</t>
    </r>
    <r>
      <rPr>
        <sz val="7"/>
        <color indexed="8"/>
        <rFont val="Arial"/>
        <family val="2"/>
        <charset val="1"/>
      </rPr>
      <t xml:space="preserve"> lvl (0)Rune Paper 1</t>
    </r>
    <r>
      <rPr>
        <vertAlign val="superscript"/>
        <sz val="7"/>
        <color indexed="8"/>
        <rFont val="Arial"/>
        <family val="2"/>
        <charset val="1"/>
      </rPr>
      <t>st</t>
    </r>
    <r>
      <rPr>
        <sz val="7"/>
        <color indexed="8"/>
        <rFont val="Arial"/>
        <family val="2"/>
        <charset val="1"/>
      </rPr>
      <t xml:space="preserve"> lvl (0)Rune Paper 1</t>
    </r>
    <r>
      <rPr>
        <vertAlign val="superscript"/>
        <sz val="7"/>
        <color indexed="8"/>
        <rFont val="Arial"/>
        <family val="2"/>
        <charset val="1"/>
      </rPr>
      <t>st</t>
    </r>
    <r>
      <rPr>
        <sz val="7"/>
        <color indexed="8"/>
        <rFont val="Arial"/>
        <family val="2"/>
        <charset val="1"/>
      </rPr>
      <t xml:space="preserve"> lvl (0)Rune Paper 1</t>
    </r>
    <r>
      <rPr>
        <vertAlign val="superscript"/>
        <sz val="7"/>
        <color indexed="8"/>
        <rFont val="Arial"/>
        <family val="2"/>
        <charset val="1"/>
      </rPr>
      <t>st</t>
    </r>
    <r>
      <rPr>
        <sz val="7"/>
        <color indexed="8"/>
        <rFont val="Arial"/>
        <family val="2"/>
        <charset val="1"/>
      </rPr>
      <t xml:space="preserve"> lvl (0)Rune Paper 1</t>
    </r>
    <r>
      <rPr>
        <vertAlign val="superscript"/>
        <sz val="7"/>
        <color indexed="8"/>
        <rFont val="Arial"/>
        <family val="2"/>
        <charset val="1"/>
      </rPr>
      <t>st</t>
    </r>
    <r>
      <rPr>
        <sz val="7"/>
        <color indexed="8"/>
        <rFont val="Arial"/>
        <family val="2"/>
        <charset val="1"/>
      </rPr>
      <t xml:space="preserve"> lvl (0)Rune Paper 1</t>
    </r>
    <r>
      <rPr>
        <vertAlign val="superscript"/>
        <sz val="7"/>
        <color indexed="8"/>
        <rFont val="Arial"/>
        <family val="2"/>
        <charset val="1"/>
      </rPr>
      <t>st</t>
    </r>
    <r>
      <rPr>
        <sz val="7"/>
        <color indexed="8"/>
        <rFont val="Arial"/>
        <family val="2"/>
        <charset val="1"/>
      </rPr>
      <t xml:space="preserve"> lvl (0)Rune Paper 1</t>
    </r>
    <r>
      <rPr>
        <vertAlign val="superscript"/>
        <sz val="7"/>
        <color indexed="8"/>
        <rFont val="Arial"/>
        <family val="2"/>
        <charset val="1"/>
      </rPr>
      <t>st</t>
    </r>
    <r>
      <rPr>
        <sz val="7"/>
        <color indexed="8"/>
        <rFont val="Arial"/>
        <family val="2"/>
        <charset val="1"/>
      </rPr>
      <t xml:space="preserve"> lvl (0)Rune Paper 1</t>
    </r>
    <r>
      <rPr>
        <vertAlign val="superscript"/>
        <sz val="7"/>
        <color indexed="8"/>
        <rFont val="Arial"/>
        <family val="2"/>
        <charset val="1"/>
      </rPr>
      <t>st</t>
    </r>
    <r>
      <rPr>
        <sz val="7"/>
        <color indexed="8"/>
        <rFont val="Arial"/>
        <family val="2"/>
        <charset val="1"/>
      </rPr>
      <t xml:space="preserve"> lvl (0)Rune Paper 1</t>
    </r>
    <r>
      <rPr>
        <vertAlign val="superscript"/>
        <sz val="7"/>
        <color indexed="8"/>
        <rFont val="Arial"/>
        <family val="2"/>
        <charset val="1"/>
      </rPr>
      <t>st</t>
    </r>
    <r>
      <rPr>
        <sz val="7"/>
        <color indexed="8"/>
        <rFont val="Arial"/>
        <family val="2"/>
        <charset val="1"/>
      </rPr>
      <t xml:space="preserve"> lvl (0)Rune Paper 1</t>
    </r>
    <r>
      <rPr>
        <vertAlign val="superscript"/>
        <sz val="7"/>
        <color indexed="8"/>
        <rFont val="Arial"/>
        <family val="2"/>
        <charset val="1"/>
      </rPr>
      <t>st</t>
    </r>
    <r>
      <rPr>
        <sz val="7"/>
        <color indexed="8"/>
        <rFont val="Arial"/>
        <family val="2"/>
        <charset val="1"/>
      </rPr>
      <t xml:space="preserve"> lvl (0)Rune Paper 1</t>
    </r>
    <r>
      <rPr>
        <vertAlign val="superscript"/>
        <sz val="7"/>
        <color indexed="8"/>
        <rFont val="Arial"/>
        <family val="2"/>
        <charset val="1"/>
      </rPr>
      <t>st</t>
    </r>
    <r>
      <rPr>
        <sz val="7"/>
        <color indexed="8"/>
        <rFont val="Arial"/>
        <family val="2"/>
        <charset val="1"/>
      </rPr>
      <t xml:space="preserve"> lvl (0)Rune Paper 1</t>
    </r>
    <r>
      <rPr>
        <vertAlign val="superscript"/>
        <sz val="7"/>
        <color indexed="8"/>
        <rFont val="Arial"/>
        <family val="2"/>
        <charset val="1"/>
      </rPr>
      <t>st</t>
    </r>
    <r>
      <rPr>
        <sz val="7"/>
        <color indexed="8"/>
        <rFont val="Arial"/>
        <family val="2"/>
        <charset val="1"/>
      </rPr>
      <t xml:space="preserve"> lvl (0)Rune Paper 1</t>
    </r>
    <r>
      <rPr>
        <vertAlign val="superscript"/>
        <sz val="7"/>
        <color indexed="8"/>
        <rFont val="Arial"/>
        <family val="2"/>
        <charset val="1"/>
      </rPr>
      <t>st</t>
    </r>
    <r>
      <rPr>
        <sz val="7"/>
        <color indexed="8"/>
        <rFont val="Arial"/>
        <family val="2"/>
        <charset val="1"/>
      </rPr>
      <t xml:space="preserve"> lvl (0)Rune Paper 1</t>
    </r>
    <r>
      <rPr>
        <vertAlign val="superscript"/>
        <sz val="7"/>
        <color indexed="8"/>
        <rFont val="Arial"/>
        <family val="2"/>
        <charset val="1"/>
      </rPr>
      <t>st</t>
    </r>
    <r>
      <rPr>
        <sz val="7"/>
        <color indexed="8"/>
        <rFont val="Arial"/>
        <family val="2"/>
        <charset val="1"/>
      </rPr>
      <t xml:space="preserve"> lvl (0)Rune Paper 1</t>
    </r>
    <r>
      <rPr>
        <vertAlign val="superscript"/>
        <sz val="7"/>
        <color indexed="8"/>
        <rFont val="Arial"/>
        <family val="2"/>
        <charset val="1"/>
      </rPr>
      <t>st</t>
    </r>
    <r>
      <rPr>
        <sz val="7"/>
        <color indexed="8"/>
        <rFont val="Arial"/>
        <family val="2"/>
        <charset val="1"/>
      </rPr>
      <t xml:space="preserve"> lvl (0)</t>
    </r>
  </si>
  <si>
    <t>Power Awareness CAT 3</t>
  </si>
  <si>
    <t>Read Runes 3</t>
  </si>
  <si>
    <t>Lore – Magical CAT 5</t>
  </si>
  <si>
    <t>Symbol Lore 3</t>
  </si>
  <si>
    <t>Paper-making 2</t>
  </si>
  <si>
    <t>Rune Mastery spell list 3</t>
  </si>
  <si>
    <t>Memory, Empathy</t>
  </si>
  <si>
    <t>Sailor (V)</t>
  </si>
  <si>
    <t>Passage creding on a ship (50)</t>
  </si>
  <si>
    <t>Trade good 10d10 sp (40)</t>
  </si>
  <si>
    <t>Close friends with a tavern owner (20)</t>
  </si>
  <si>
    <t>Close friends with a ship captain (20)</t>
  </si>
  <si>
    <t>Passage creding on a ship (0)</t>
  </si>
  <si>
    <t>Swimming 2</t>
  </si>
  <si>
    <t>Rope Mastery 1</t>
  </si>
  <si>
    <t>shoice of Star Gazing or Weather Watching 1</t>
  </si>
  <si>
    <t>Orienteering 1</t>
  </si>
  <si>
    <t>Scout (V)</t>
  </si>
  <si>
    <t>1 detailed map of a region (40)</t>
  </si>
  <si>
    <t>d10 sketchy maps of several regions (40)</t>
  </si>
  <si>
    <t>Good riding beast +10 Riding (30)</t>
  </si>
  <si>
    <t>Missile weapon +5 NM (20)</t>
  </si>
  <si>
    <t>Outdoor – Environmental CAT 3</t>
  </si>
  <si>
    <t>Outdoor Animal CAT 2</t>
  </si>
  <si>
    <t>Observation 2</t>
  </si>
  <si>
    <t>Read Tracks 1</t>
  </si>
  <si>
    <t>Shaman Priest (L)</t>
  </si>
  <si>
    <t>Large animal companion (GM's choice) (20)</t>
  </si>
  <si>
    <t>Spell adder +1 (50)</t>
  </si>
  <si>
    <r>
      <t>Daily I item (2</t>
    </r>
    <r>
      <rPr>
        <vertAlign val="superscript"/>
        <sz val="7"/>
        <color indexed="8"/>
        <rFont val="Arial"/>
        <family val="2"/>
        <charset val="1"/>
      </rPr>
      <t>nd</t>
    </r>
    <r>
      <rPr>
        <sz val="7"/>
        <color indexed="8"/>
        <rFont val="Arial"/>
        <family val="2"/>
        <charset val="1"/>
      </rPr>
      <t xml:space="preserve"> level spell) (40)Daily I item (2</t>
    </r>
    <r>
      <rPr>
        <vertAlign val="superscript"/>
        <sz val="7"/>
        <color indexed="8"/>
        <rFont val="Arial"/>
        <family val="2"/>
        <charset val="1"/>
      </rPr>
      <t>nd</t>
    </r>
    <r>
      <rPr>
        <sz val="7"/>
        <color indexed="8"/>
        <rFont val="Arial"/>
        <family val="2"/>
        <charset val="1"/>
      </rPr>
      <t xml:space="preserve"> level spell) (40)Daily I item (2</t>
    </r>
    <r>
      <rPr>
        <vertAlign val="superscript"/>
        <sz val="7"/>
        <color indexed="8"/>
        <rFont val="Arial"/>
        <family val="2"/>
        <charset val="1"/>
      </rPr>
      <t>nd</t>
    </r>
    <r>
      <rPr>
        <sz val="7"/>
        <color indexed="8"/>
        <rFont val="Arial"/>
        <family val="2"/>
        <charset val="1"/>
      </rPr>
      <t xml:space="preserve"> level spell) (40)Daily I item (2</t>
    </r>
    <r>
      <rPr>
        <vertAlign val="superscript"/>
        <sz val="7"/>
        <color indexed="8"/>
        <rFont val="Arial"/>
        <family val="2"/>
        <charset val="1"/>
      </rPr>
      <t>nd</t>
    </r>
    <r>
      <rPr>
        <sz val="7"/>
        <color indexed="8"/>
        <rFont val="Arial"/>
        <family val="2"/>
        <charset val="1"/>
      </rPr>
      <t xml:space="preserve"> level spell) (40)Daily I item (2</t>
    </r>
    <r>
      <rPr>
        <vertAlign val="superscript"/>
        <sz val="7"/>
        <color indexed="8"/>
        <rFont val="Arial"/>
        <family val="2"/>
        <charset val="1"/>
      </rPr>
      <t>nd</t>
    </r>
    <r>
      <rPr>
        <sz val="7"/>
        <color indexed="8"/>
        <rFont val="Arial"/>
        <family val="2"/>
        <charset val="1"/>
      </rPr>
      <t xml:space="preserve"> level spell) (40)Daily I item (2</t>
    </r>
    <r>
      <rPr>
        <vertAlign val="superscript"/>
        <sz val="7"/>
        <color indexed="8"/>
        <rFont val="Arial"/>
        <family val="2"/>
        <charset val="1"/>
      </rPr>
      <t>nd</t>
    </r>
    <r>
      <rPr>
        <sz val="7"/>
        <color indexed="8"/>
        <rFont val="Arial"/>
        <family val="2"/>
        <charset val="1"/>
      </rPr>
      <t xml:space="preserve"> level spell) (40)Daily I item (2</t>
    </r>
    <r>
      <rPr>
        <vertAlign val="superscript"/>
        <sz val="7"/>
        <color indexed="8"/>
        <rFont val="Arial"/>
        <family val="2"/>
        <charset val="1"/>
      </rPr>
      <t>nd</t>
    </r>
    <r>
      <rPr>
        <sz val="7"/>
        <color indexed="8"/>
        <rFont val="Arial"/>
        <family val="2"/>
        <charset val="1"/>
      </rPr>
      <t xml:space="preserve"> level spell) (40)Daily I item (2</t>
    </r>
    <r>
      <rPr>
        <vertAlign val="superscript"/>
        <sz val="7"/>
        <color indexed="8"/>
        <rFont val="Arial"/>
        <family val="2"/>
        <charset val="1"/>
      </rPr>
      <t>nd</t>
    </r>
    <r>
      <rPr>
        <sz val="7"/>
        <color indexed="8"/>
        <rFont val="Arial"/>
        <family val="2"/>
        <charset val="1"/>
      </rPr>
      <t xml:space="preserve"> level spell) (40)Daily I item (2</t>
    </r>
    <r>
      <rPr>
        <vertAlign val="superscript"/>
        <sz val="7"/>
        <color indexed="8"/>
        <rFont val="Arial"/>
        <family val="2"/>
        <charset val="1"/>
      </rPr>
      <t>nd</t>
    </r>
    <r>
      <rPr>
        <sz val="7"/>
        <color indexed="8"/>
        <rFont val="Arial"/>
        <family val="2"/>
        <charset val="1"/>
      </rPr>
      <t xml:space="preserve"> level spell) (40)Daily I item (2</t>
    </r>
    <r>
      <rPr>
        <vertAlign val="superscript"/>
        <sz val="7"/>
        <color indexed="8"/>
        <rFont val="Arial"/>
        <family val="2"/>
        <charset val="1"/>
      </rPr>
      <t>nd</t>
    </r>
    <r>
      <rPr>
        <sz val="7"/>
        <color indexed="8"/>
        <rFont val="Arial"/>
        <family val="2"/>
        <charset val="1"/>
      </rPr>
      <t xml:space="preserve"> level spell) (40)Daily I item (2</t>
    </r>
    <r>
      <rPr>
        <vertAlign val="superscript"/>
        <sz val="7"/>
        <color indexed="8"/>
        <rFont val="Arial"/>
        <family val="2"/>
        <charset val="1"/>
      </rPr>
      <t>nd</t>
    </r>
    <r>
      <rPr>
        <sz val="7"/>
        <color indexed="8"/>
        <rFont val="Arial"/>
        <family val="2"/>
        <charset val="1"/>
      </rPr>
      <t xml:space="preserve"> level spell) (40)Daily I item (2</t>
    </r>
    <r>
      <rPr>
        <vertAlign val="superscript"/>
        <sz val="7"/>
        <color indexed="8"/>
        <rFont val="Arial"/>
        <family val="2"/>
        <charset val="1"/>
      </rPr>
      <t>nd</t>
    </r>
    <r>
      <rPr>
        <sz val="7"/>
        <color indexed="8"/>
        <rFont val="Arial"/>
        <family val="2"/>
        <charset val="1"/>
      </rPr>
      <t xml:space="preserve"> level spell) (40)Daily I item (2</t>
    </r>
    <r>
      <rPr>
        <vertAlign val="superscript"/>
        <sz val="7"/>
        <color indexed="8"/>
        <rFont val="Arial"/>
        <family val="2"/>
        <charset val="1"/>
      </rPr>
      <t>nd</t>
    </r>
    <r>
      <rPr>
        <sz val="7"/>
        <color indexed="8"/>
        <rFont val="Arial"/>
        <family val="2"/>
        <charset val="1"/>
      </rPr>
      <t xml:space="preserve"> level spell) (40)Daily I item (2</t>
    </r>
    <r>
      <rPr>
        <vertAlign val="superscript"/>
        <sz val="7"/>
        <color indexed="8"/>
        <rFont val="Arial"/>
        <family val="2"/>
        <charset val="1"/>
      </rPr>
      <t>nd</t>
    </r>
    <r>
      <rPr>
        <sz val="7"/>
        <color indexed="8"/>
        <rFont val="Arial"/>
        <family val="2"/>
        <charset val="1"/>
      </rPr>
      <t xml:space="preserve"> level spell) (40)Daily I item (2</t>
    </r>
    <r>
      <rPr>
        <vertAlign val="superscript"/>
        <sz val="7"/>
        <color indexed="8"/>
        <rFont val="Arial"/>
        <family val="2"/>
        <charset val="1"/>
      </rPr>
      <t>nd</t>
    </r>
    <r>
      <rPr>
        <sz val="7"/>
        <color indexed="8"/>
        <rFont val="Arial"/>
        <family val="2"/>
        <charset val="1"/>
      </rPr>
      <t xml:space="preserve"> level spell) (40)Daily I item (2</t>
    </r>
    <r>
      <rPr>
        <vertAlign val="superscript"/>
        <sz val="7"/>
        <color indexed="8"/>
        <rFont val="Arial"/>
        <family val="2"/>
        <charset val="1"/>
      </rPr>
      <t>nd</t>
    </r>
    <r>
      <rPr>
        <sz val="7"/>
        <color indexed="8"/>
        <rFont val="Arial"/>
        <family val="2"/>
        <charset val="1"/>
      </rPr>
      <t xml:space="preserve"> level spell) (40)Daily I item (2</t>
    </r>
    <r>
      <rPr>
        <vertAlign val="superscript"/>
        <sz val="7"/>
        <color indexed="8"/>
        <rFont val="Arial"/>
        <family val="2"/>
        <charset val="1"/>
      </rPr>
      <t>nd</t>
    </r>
    <r>
      <rPr>
        <sz val="7"/>
        <color indexed="8"/>
        <rFont val="Arial"/>
        <family val="2"/>
        <charset val="1"/>
      </rPr>
      <t xml:space="preserve"> level spell) (40)Daily I item (2</t>
    </r>
    <r>
      <rPr>
        <vertAlign val="superscript"/>
        <sz val="7"/>
        <color indexed="8"/>
        <rFont val="Arial"/>
        <family val="2"/>
        <charset val="1"/>
      </rPr>
      <t>nd</t>
    </r>
    <r>
      <rPr>
        <sz val="7"/>
        <color indexed="8"/>
        <rFont val="Arial"/>
        <family val="2"/>
        <charset val="1"/>
      </rPr>
      <t xml:space="preserve"> level spell) (40)Daily I item (2</t>
    </r>
    <r>
      <rPr>
        <vertAlign val="superscript"/>
        <sz val="7"/>
        <color indexed="8"/>
        <rFont val="Arial"/>
        <family val="2"/>
        <charset val="1"/>
      </rPr>
      <t>nd</t>
    </r>
    <r>
      <rPr>
        <sz val="7"/>
        <color indexed="8"/>
        <rFont val="Arial"/>
        <family val="2"/>
        <charset val="1"/>
      </rPr>
      <t xml:space="preserve"> level spell) (40)Daily I item (2</t>
    </r>
    <r>
      <rPr>
        <vertAlign val="superscript"/>
        <sz val="7"/>
        <color indexed="8"/>
        <rFont val="Arial"/>
        <family val="2"/>
        <charset val="1"/>
      </rPr>
      <t>nd</t>
    </r>
    <r>
      <rPr>
        <sz val="7"/>
        <color indexed="8"/>
        <rFont val="Arial"/>
        <family val="2"/>
        <charset val="1"/>
      </rPr>
      <t xml:space="preserve"> level spell) (40)Daily I item (2</t>
    </r>
    <r>
      <rPr>
        <vertAlign val="superscript"/>
        <sz val="7"/>
        <color indexed="8"/>
        <rFont val="Arial"/>
        <family val="2"/>
        <charset val="1"/>
      </rPr>
      <t>nd</t>
    </r>
    <r>
      <rPr>
        <sz val="7"/>
        <color indexed="8"/>
        <rFont val="Arial"/>
        <family val="2"/>
        <charset val="1"/>
      </rPr>
      <t xml:space="preserve"> level spell) (40)Daily I item (2</t>
    </r>
    <r>
      <rPr>
        <vertAlign val="superscript"/>
        <sz val="7"/>
        <color indexed="8"/>
        <rFont val="Arial"/>
        <family val="2"/>
        <charset val="1"/>
      </rPr>
      <t>nd</t>
    </r>
    <r>
      <rPr>
        <sz val="7"/>
        <color indexed="8"/>
        <rFont val="Arial"/>
        <family val="2"/>
        <charset val="1"/>
      </rPr>
      <t xml:space="preserve"> level spell) (40)Daily I item (2</t>
    </r>
    <r>
      <rPr>
        <vertAlign val="superscript"/>
        <sz val="7"/>
        <color indexed="8"/>
        <rFont val="Arial"/>
        <family val="2"/>
        <charset val="1"/>
      </rPr>
      <t>nd</t>
    </r>
    <r>
      <rPr>
        <sz val="7"/>
        <color indexed="8"/>
        <rFont val="Arial"/>
        <family val="2"/>
        <charset val="1"/>
      </rPr>
      <t xml:space="preserve"> level spell) (40)Daily I item (2</t>
    </r>
    <r>
      <rPr>
        <vertAlign val="superscript"/>
        <sz val="7"/>
        <color indexed="8"/>
        <rFont val="Arial"/>
        <family val="2"/>
        <charset val="1"/>
      </rPr>
      <t>nd</t>
    </r>
    <r>
      <rPr>
        <sz val="7"/>
        <color indexed="8"/>
        <rFont val="Arial"/>
        <family val="2"/>
        <charset val="1"/>
      </rPr>
      <t xml:space="preserve"> level spell) (40)Daily I item (2</t>
    </r>
    <r>
      <rPr>
        <vertAlign val="superscript"/>
        <sz val="7"/>
        <color indexed="8"/>
        <rFont val="Arial"/>
        <family val="2"/>
        <charset val="1"/>
      </rPr>
      <t>nd</t>
    </r>
    <r>
      <rPr>
        <sz val="7"/>
        <color indexed="8"/>
        <rFont val="Arial"/>
        <family val="2"/>
        <charset val="1"/>
      </rPr>
      <t xml:space="preserve"> level spell) (40)Daily I item (2</t>
    </r>
    <r>
      <rPr>
        <vertAlign val="superscript"/>
        <sz val="7"/>
        <color indexed="8"/>
        <rFont val="Arial"/>
        <family val="2"/>
        <charset val="1"/>
      </rPr>
      <t>nd</t>
    </r>
    <r>
      <rPr>
        <sz val="7"/>
        <color indexed="8"/>
        <rFont val="Arial"/>
        <family val="2"/>
        <charset val="1"/>
      </rPr>
      <t xml:space="preserve"> level spell) (40)Daily I item (2</t>
    </r>
    <r>
      <rPr>
        <vertAlign val="superscript"/>
        <sz val="7"/>
        <color indexed="8"/>
        <rFont val="Arial"/>
        <family val="2"/>
        <charset val="1"/>
      </rPr>
      <t>nd</t>
    </r>
    <r>
      <rPr>
        <sz val="7"/>
        <color indexed="8"/>
        <rFont val="Arial"/>
        <family val="2"/>
        <charset val="1"/>
      </rPr>
      <t xml:space="preserve"> level spell) (40)Daily I item (2</t>
    </r>
    <r>
      <rPr>
        <vertAlign val="superscript"/>
        <sz val="7"/>
        <color indexed="8"/>
        <rFont val="Arial"/>
        <family val="2"/>
        <charset val="1"/>
      </rPr>
      <t>nd</t>
    </r>
    <r>
      <rPr>
        <sz val="7"/>
        <color indexed="8"/>
        <rFont val="Arial"/>
        <family val="2"/>
        <charset val="1"/>
      </rPr>
      <t xml:space="preserve"> level spell) (40)Daily I item (2</t>
    </r>
    <r>
      <rPr>
        <vertAlign val="superscript"/>
        <sz val="7"/>
        <color indexed="8"/>
        <rFont val="Arial"/>
        <family val="2"/>
        <charset val="1"/>
      </rPr>
      <t>nd</t>
    </r>
    <r>
      <rPr>
        <sz val="7"/>
        <color indexed="8"/>
        <rFont val="Arial"/>
        <family val="2"/>
        <charset val="1"/>
      </rPr>
      <t xml:space="preserve"> level spell) (40)Daily I item (2</t>
    </r>
    <r>
      <rPr>
        <vertAlign val="superscript"/>
        <sz val="7"/>
        <color indexed="8"/>
        <rFont val="Arial"/>
        <family val="2"/>
        <charset val="1"/>
      </rPr>
      <t>nd</t>
    </r>
    <r>
      <rPr>
        <sz val="7"/>
        <color indexed="8"/>
        <rFont val="Arial"/>
        <family val="2"/>
        <charset val="1"/>
      </rPr>
      <t xml:space="preserve"> level spell) (40)Daily I item (2</t>
    </r>
    <r>
      <rPr>
        <vertAlign val="superscript"/>
        <sz val="7"/>
        <color indexed="8"/>
        <rFont val="Arial"/>
        <family val="2"/>
        <charset val="1"/>
      </rPr>
      <t>nd</t>
    </r>
    <r>
      <rPr>
        <sz val="7"/>
        <color indexed="8"/>
        <rFont val="Arial"/>
        <family val="2"/>
        <charset val="1"/>
      </rPr>
      <t xml:space="preserve"> level spell) (40)Daily I item (2</t>
    </r>
    <r>
      <rPr>
        <vertAlign val="superscript"/>
        <sz val="7"/>
        <color indexed="8"/>
        <rFont val="Arial"/>
        <family val="2"/>
        <charset val="1"/>
      </rPr>
      <t>nd</t>
    </r>
    <r>
      <rPr>
        <sz val="7"/>
        <color indexed="8"/>
        <rFont val="Arial"/>
        <family val="2"/>
        <charset val="1"/>
      </rPr>
      <t xml:space="preserve"> level spell) (40)Daily I item (2</t>
    </r>
    <r>
      <rPr>
        <vertAlign val="superscript"/>
        <sz val="7"/>
        <color indexed="8"/>
        <rFont val="Arial"/>
        <family val="2"/>
        <charset val="1"/>
      </rPr>
      <t>nd</t>
    </r>
    <r>
      <rPr>
        <sz val="7"/>
        <color indexed="8"/>
        <rFont val="Arial"/>
        <family val="2"/>
        <charset val="1"/>
      </rPr>
      <t xml:space="preserve"> level spell) (40)Daily I item (2</t>
    </r>
    <r>
      <rPr>
        <vertAlign val="superscript"/>
        <sz val="7"/>
        <color indexed="8"/>
        <rFont val="Arial"/>
        <family val="2"/>
        <charset val="1"/>
      </rPr>
      <t>nd</t>
    </r>
    <r>
      <rPr>
        <sz val="7"/>
        <color indexed="8"/>
        <rFont val="Arial"/>
        <family val="2"/>
        <charset val="1"/>
      </rPr>
      <t xml:space="preserve"> level spell) (40)Daily I item (2</t>
    </r>
    <r>
      <rPr>
        <vertAlign val="superscript"/>
        <sz val="7"/>
        <color indexed="8"/>
        <rFont val="Arial"/>
        <family val="2"/>
        <charset val="1"/>
      </rPr>
      <t>nd</t>
    </r>
    <r>
      <rPr>
        <sz val="7"/>
        <color indexed="8"/>
        <rFont val="Arial"/>
        <family val="2"/>
        <charset val="1"/>
      </rPr>
      <t xml:space="preserve"> level spell) (40)Daily I item (2</t>
    </r>
    <r>
      <rPr>
        <vertAlign val="superscript"/>
        <sz val="7"/>
        <color indexed="8"/>
        <rFont val="Arial"/>
        <family val="2"/>
        <charset val="1"/>
      </rPr>
      <t>nd</t>
    </r>
    <r>
      <rPr>
        <sz val="7"/>
        <color indexed="8"/>
        <rFont val="Arial"/>
        <family val="2"/>
        <charset val="1"/>
      </rPr>
      <t xml:space="preserve"> level spell) (40)</t>
    </r>
  </si>
  <si>
    <t>Small animal companion (GM's choice) (0)</t>
  </si>
  <si>
    <t>Communications CAT 2</t>
  </si>
  <si>
    <t>choice of one language 2</t>
  </si>
  <si>
    <t>Intuition, Presence</t>
  </si>
  <si>
    <t>Soldier (V)</t>
  </si>
  <si>
    <t>Melee weapon +10 NM (30)</t>
  </si>
  <si>
    <t>Missile Weapon +10 NM (30)</t>
  </si>
  <si>
    <t>Shield +10 NM (40)</t>
  </si>
  <si>
    <t>Helm +10 NM (50)</t>
  </si>
  <si>
    <t>Friends with a ranking officer (20)</t>
  </si>
  <si>
    <t>Promotion (20)</t>
  </si>
  <si>
    <t>Nothing special (0)</t>
  </si>
  <si>
    <t>Military Organizaion 1</t>
  </si>
  <si>
    <t>Spy (V)</t>
  </si>
  <si>
    <t>False Identification +10 NM (50)</t>
  </si>
  <si>
    <t>Cloak +10 NM (40)</t>
  </si>
  <si>
    <t>Contacts within friendly government (40)</t>
  </si>
  <si>
    <t>Lock picks +10 NM (30)</t>
  </si>
  <si>
    <t>Important papers worth 10d10 sp (20)</t>
  </si>
  <si>
    <t>Traveler (V)</t>
  </si>
  <si>
    <t>Weather-resistant clothing (80)</t>
  </si>
  <si>
    <t>Riding beast (GM's discretion) (30)</t>
  </si>
  <si>
    <t>Simple map of the local region (0)</t>
  </si>
  <si>
    <t>Wanderer (L)</t>
  </si>
  <si>
    <t>Riding beast (GM's discretion) (40)</t>
  </si>
  <si>
    <t>Cloak +5 Hiding (30)</t>
  </si>
  <si>
    <t>Boots +5 Stalking (30)</t>
  </si>
  <si>
    <t>Simple map of the known world (0)</t>
  </si>
  <si>
    <t>Lore - General CAT 3</t>
  </si>
  <si>
    <t>Warlock (L), AC</t>
  </si>
  <si>
    <r>
      <t xml:space="preserve">+2 Spell Adder </t>
    </r>
    <r>
      <rPr>
        <b/>
        <sz val="7"/>
        <color indexed="8"/>
        <rFont val="Arial"/>
        <family val="2"/>
        <charset val="1"/>
      </rPr>
      <t>(</t>
    </r>
    <r>
      <rPr>
        <sz val="7"/>
        <color indexed="8"/>
        <rFont val="Arial"/>
        <family val="2"/>
        <charset val="1"/>
      </rPr>
      <t>20</t>
    </r>
    <r>
      <rPr>
        <b/>
        <sz val="7"/>
        <color indexed="8"/>
        <rFont val="Arial"/>
        <family val="2"/>
        <charset val="1"/>
      </rPr>
      <t>)+2 Spell Adder (</t>
    </r>
    <r>
      <rPr>
        <sz val="7"/>
        <color indexed="8"/>
        <rFont val="Arial"/>
        <family val="2"/>
        <charset val="1"/>
      </rPr>
      <t>20</t>
    </r>
    <r>
      <rPr>
        <b/>
        <sz val="7"/>
        <color indexed="8"/>
        <rFont val="Arial"/>
        <family val="2"/>
        <charset val="1"/>
      </rPr>
      <t>)+2 Spell Adder (</t>
    </r>
    <r>
      <rPr>
        <sz val="7"/>
        <color indexed="8"/>
        <rFont val="Arial"/>
        <family val="2"/>
        <charset val="1"/>
      </rPr>
      <t>20</t>
    </r>
    <r>
      <rPr>
        <b/>
        <sz val="7"/>
        <color indexed="8"/>
        <rFont val="Arial"/>
        <family val="2"/>
        <charset val="1"/>
      </rPr>
      <t>)+2 Spell Adder (</t>
    </r>
    <r>
      <rPr>
        <sz val="7"/>
        <color indexed="8"/>
        <rFont val="Arial"/>
        <family val="2"/>
        <charset val="1"/>
      </rPr>
      <t>20</t>
    </r>
    <r>
      <rPr>
        <b/>
        <sz val="7"/>
        <color indexed="8"/>
        <rFont val="Arial"/>
        <family val="2"/>
        <charset val="1"/>
      </rPr>
      <t>)+2 Spell Adder (</t>
    </r>
    <r>
      <rPr>
        <sz val="7"/>
        <color indexed="8"/>
        <rFont val="Arial"/>
        <family val="2"/>
        <charset val="1"/>
      </rPr>
      <t>20</t>
    </r>
    <r>
      <rPr>
        <b/>
        <sz val="7"/>
        <color indexed="8"/>
        <rFont val="Arial"/>
        <family val="2"/>
        <charset val="1"/>
      </rPr>
      <t>)+2 Spell Adder (</t>
    </r>
    <r>
      <rPr>
        <sz val="7"/>
        <color indexed="8"/>
        <rFont val="Arial"/>
        <family val="2"/>
        <charset val="1"/>
      </rPr>
      <t>20</t>
    </r>
    <r>
      <rPr>
        <b/>
        <sz val="7"/>
        <color indexed="8"/>
        <rFont val="Arial"/>
        <family val="2"/>
        <charset val="1"/>
      </rPr>
      <t>)+2 Spell Adder (</t>
    </r>
    <r>
      <rPr>
        <sz val="7"/>
        <color indexed="8"/>
        <rFont val="Arial"/>
        <family val="2"/>
        <charset val="1"/>
      </rPr>
      <t>20</t>
    </r>
    <r>
      <rPr>
        <b/>
        <sz val="7"/>
        <color indexed="8"/>
        <rFont val="Arial"/>
        <family val="2"/>
        <charset val="1"/>
      </rPr>
      <t>)+2 Spell Adder (</t>
    </r>
    <r>
      <rPr>
        <sz val="7"/>
        <color indexed="8"/>
        <rFont val="Arial"/>
        <family val="2"/>
        <charset val="1"/>
      </rPr>
      <t>20</t>
    </r>
    <r>
      <rPr>
        <b/>
        <sz val="7"/>
        <color indexed="8"/>
        <rFont val="Arial"/>
        <family val="2"/>
        <charset val="1"/>
      </rPr>
      <t>)+2 Spell Adder (</t>
    </r>
    <r>
      <rPr>
        <sz val="7"/>
        <color indexed="8"/>
        <rFont val="Arial"/>
        <family val="2"/>
        <charset val="1"/>
      </rPr>
      <t>20</t>
    </r>
    <r>
      <rPr>
        <b/>
        <sz val="7"/>
        <color indexed="8"/>
        <rFont val="Arial"/>
        <family val="2"/>
        <charset val="1"/>
      </rPr>
      <t>)+2 Spell Adder (</t>
    </r>
    <r>
      <rPr>
        <sz val="7"/>
        <color indexed="8"/>
        <rFont val="Arial"/>
        <family val="2"/>
        <charset val="1"/>
      </rPr>
      <t>20</t>
    </r>
    <r>
      <rPr>
        <b/>
        <sz val="7"/>
        <color indexed="8"/>
        <rFont val="Arial"/>
        <family val="2"/>
        <charset val="1"/>
      </rPr>
      <t>)+2 Spell Adder (</t>
    </r>
    <r>
      <rPr>
        <sz val="7"/>
        <color indexed="8"/>
        <rFont val="Arial"/>
        <family val="2"/>
        <charset val="1"/>
      </rPr>
      <t>20</t>
    </r>
    <r>
      <rPr>
        <b/>
        <sz val="7"/>
        <color indexed="8"/>
        <rFont val="Arial"/>
        <family val="2"/>
        <charset val="1"/>
      </rPr>
      <t>)+2 Spell Adder (</t>
    </r>
    <r>
      <rPr>
        <sz val="7"/>
        <color indexed="8"/>
        <rFont val="Arial"/>
        <family val="2"/>
        <charset val="1"/>
      </rPr>
      <t>20</t>
    </r>
    <r>
      <rPr>
        <b/>
        <sz val="7"/>
        <color indexed="8"/>
        <rFont val="Arial"/>
        <family val="2"/>
        <charset val="1"/>
      </rPr>
      <t>)+2 Spell Adder (</t>
    </r>
    <r>
      <rPr>
        <sz val="7"/>
        <color indexed="8"/>
        <rFont val="Arial"/>
        <family val="2"/>
        <charset val="1"/>
      </rPr>
      <t>20</t>
    </r>
    <r>
      <rPr>
        <b/>
        <sz val="7"/>
        <color indexed="8"/>
        <rFont val="Arial"/>
        <family val="2"/>
        <charset val="1"/>
      </rPr>
      <t>)+2 Spell Adder (</t>
    </r>
    <r>
      <rPr>
        <sz val="7"/>
        <color indexed="8"/>
        <rFont val="Arial"/>
        <family val="2"/>
        <charset val="1"/>
      </rPr>
      <t>20</t>
    </r>
    <r>
      <rPr>
        <b/>
        <sz val="7"/>
        <color indexed="8"/>
        <rFont val="Arial"/>
        <family val="2"/>
        <charset val="1"/>
      </rPr>
      <t>)+2 Spell Adder (</t>
    </r>
    <r>
      <rPr>
        <sz val="7"/>
        <color indexed="8"/>
        <rFont val="Arial"/>
        <family val="2"/>
        <charset val="1"/>
      </rPr>
      <t>20</t>
    </r>
    <r>
      <rPr>
        <b/>
        <sz val="7"/>
        <color indexed="8"/>
        <rFont val="Arial"/>
        <family val="2"/>
        <charset val="1"/>
      </rPr>
      <t>)+2 Spell Adder (</t>
    </r>
    <r>
      <rPr>
        <sz val="7"/>
        <color indexed="8"/>
        <rFont val="Arial"/>
        <family val="2"/>
        <charset val="1"/>
      </rPr>
      <t>20</t>
    </r>
    <r>
      <rPr>
        <b/>
        <sz val="7"/>
        <color indexed="8"/>
        <rFont val="Arial"/>
        <family val="2"/>
        <charset val="1"/>
      </rPr>
      <t>)+2 Spell Adder (</t>
    </r>
    <r>
      <rPr>
        <sz val="7"/>
        <color indexed="8"/>
        <rFont val="Arial"/>
        <family val="2"/>
        <charset val="1"/>
      </rPr>
      <t>20</t>
    </r>
    <r>
      <rPr>
        <b/>
        <sz val="7"/>
        <color indexed="8"/>
        <rFont val="Arial"/>
        <family val="2"/>
        <charset val="1"/>
      </rPr>
      <t>)+2 Spell Adder (</t>
    </r>
    <r>
      <rPr>
        <sz val="7"/>
        <color indexed="8"/>
        <rFont val="Arial"/>
        <family val="2"/>
        <charset val="1"/>
      </rPr>
      <t>20</t>
    </r>
    <r>
      <rPr>
        <b/>
        <sz val="7"/>
        <color indexed="8"/>
        <rFont val="Arial"/>
        <family val="2"/>
        <charset val="1"/>
      </rPr>
      <t>)+2 Spell Adder (</t>
    </r>
    <r>
      <rPr>
        <sz val="7"/>
        <color indexed="8"/>
        <rFont val="Arial"/>
        <family val="2"/>
        <charset val="1"/>
      </rPr>
      <t>20</t>
    </r>
    <r>
      <rPr>
        <b/>
        <sz val="7"/>
        <color indexed="8"/>
        <rFont val="Arial"/>
        <family val="2"/>
        <charset val="1"/>
      </rPr>
      <t>)+2 Spell Adder (</t>
    </r>
    <r>
      <rPr>
        <sz val="7"/>
        <color indexed="8"/>
        <rFont val="Arial"/>
        <family val="2"/>
        <charset val="1"/>
      </rPr>
      <t>20</t>
    </r>
    <r>
      <rPr>
        <b/>
        <sz val="7"/>
        <color indexed="8"/>
        <rFont val="Arial"/>
        <family val="2"/>
        <charset val="1"/>
      </rPr>
      <t>)+2 Spell Adder (</t>
    </r>
    <r>
      <rPr>
        <sz val="7"/>
        <color indexed="8"/>
        <rFont val="Arial"/>
        <family val="2"/>
        <charset val="1"/>
      </rPr>
      <t>20</t>
    </r>
    <r>
      <rPr>
        <b/>
        <sz val="7"/>
        <color indexed="8"/>
        <rFont val="Arial"/>
        <family val="2"/>
        <charset val="1"/>
      </rPr>
      <t>)+2 Spell Adder (</t>
    </r>
    <r>
      <rPr>
        <sz val="7"/>
        <color indexed="8"/>
        <rFont val="Arial"/>
        <family val="2"/>
        <charset val="1"/>
      </rPr>
      <t>20</t>
    </r>
    <r>
      <rPr>
        <b/>
        <sz val="7"/>
        <color indexed="8"/>
        <rFont val="Arial"/>
        <family val="2"/>
        <charset val="1"/>
      </rPr>
      <t>)+2 Spell Adder (</t>
    </r>
    <r>
      <rPr>
        <sz val="7"/>
        <color indexed="8"/>
        <rFont val="Arial"/>
        <family val="2"/>
        <charset val="1"/>
      </rPr>
      <t>20</t>
    </r>
    <r>
      <rPr>
        <b/>
        <sz val="7"/>
        <color indexed="8"/>
        <rFont val="Arial"/>
        <family val="2"/>
        <charset val="1"/>
      </rPr>
      <t>)+2 Spell Adder (</t>
    </r>
    <r>
      <rPr>
        <sz val="7"/>
        <color indexed="8"/>
        <rFont val="Arial"/>
        <family val="2"/>
        <charset val="1"/>
      </rPr>
      <t>20</t>
    </r>
    <r>
      <rPr>
        <b/>
        <sz val="7"/>
        <color indexed="8"/>
        <rFont val="Arial"/>
        <family val="2"/>
        <charset val="1"/>
      </rPr>
      <t>)+2 Spell Adder (</t>
    </r>
    <r>
      <rPr>
        <sz val="7"/>
        <color indexed="8"/>
        <rFont val="Arial"/>
        <family val="2"/>
        <charset val="1"/>
      </rPr>
      <t>20</t>
    </r>
    <r>
      <rPr>
        <b/>
        <sz val="7"/>
        <color indexed="8"/>
        <rFont val="Arial"/>
        <family val="2"/>
        <charset val="1"/>
      </rPr>
      <t>)+2 Spell Adder (</t>
    </r>
    <r>
      <rPr>
        <sz val="7"/>
        <color indexed="8"/>
        <rFont val="Arial"/>
        <family val="2"/>
        <charset val="1"/>
      </rPr>
      <t>20</t>
    </r>
    <r>
      <rPr>
        <b/>
        <sz val="7"/>
        <color indexed="8"/>
        <rFont val="Arial"/>
        <family val="2"/>
        <charset val="1"/>
      </rPr>
      <t>)+2 Spell Adder (</t>
    </r>
    <r>
      <rPr>
        <sz val="7"/>
        <color indexed="8"/>
        <rFont val="Arial"/>
        <family val="2"/>
        <charset val="1"/>
      </rPr>
      <t>20</t>
    </r>
    <r>
      <rPr>
        <b/>
        <sz val="7"/>
        <color indexed="8"/>
        <rFont val="Arial"/>
        <family val="2"/>
        <charset val="1"/>
      </rPr>
      <t>)+2 Spell Adder (</t>
    </r>
    <r>
      <rPr>
        <sz val="7"/>
        <color indexed="8"/>
        <rFont val="Arial"/>
        <family val="2"/>
        <charset val="1"/>
      </rPr>
      <t>20</t>
    </r>
    <r>
      <rPr>
        <b/>
        <sz val="7"/>
        <color indexed="8"/>
        <rFont val="Arial"/>
        <family val="2"/>
        <charset val="1"/>
      </rPr>
      <t>)+2 Spell Adder (</t>
    </r>
    <r>
      <rPr>
        <sz val="7"/>
        <color indexed="8"/>
        <rFont val="Arial"/>
        <family val="2"/>
        <charset val="1"/>
      </rPr>
      <t>20</t>
    </r>
    <r>
      <rPr>
        <b/>
        <sz val="7"/>
        <color indexed="8"/>
        <rFont val="Arial"/>
        <family val="2"/>
        <charset val="1"/>
      </rPr>
      <t>)+2 Spell Adder (</t>
    </r>
    <r>
      <rPr>
        <sz val="7"/>
        <color indexed="8"/>
        <rFont val="Arial"/>
        <family val="2"/>
        <charset val="1"/>
      </rPr>
      <t>20</t>
    </r>
    <r>
      <rPr>
        <b/>
        <sz val="7"/>
        <color indexed="8"/>
        <rFont val="Arial"/>
        <family val="2"/>
        <charset val="1"/>
      </rPr>
      <t>)+2 Spell Adder (</t>
    </r>
    <r>
      <rPr>
        <sz val="7"/>
        <color indexed="8"/>
        <rFont val="Arial"/>
        <family val="2"/>
        <charset val="1"/>
      </rPr>
      <t>20</t>
    </r>
    <r>
      <rPr>
        <b/>
        <sz val="7"/>
        <color indexed="8"/>
        <rFont val="Arial"/>
        <family val="2"/>
        <charset val="1"/>
      </rPr>
      <t>)+2 Spell Adder (</t>
    </r>
    <r>
      <rPr>
        <sz val="7"/>
        <color indexed="8"/>
        <rFont val="Arial"/>
        <family val="2"/>
        <charset val="1"/>
      </rPr>
      <t>20</t>
    </r>
    <r>
      <rPr>
        <b/>
        <sz val="7"/>
        <color indexed="8"/>
        <rFont val="Arial"/>
        <family val="2"/>
        <charset val="1"/>
      </rPr>
      <t>)+2 Spell Adder (</t>
    </r>
    <r>
      <rPr>
        <sz val="7"/>
        <color indexed="8"/>
        <rFont val="Arial"/>
        <family val="2"/>
        <charset val="1"/>
      </rPr>
      <t>20</t>
    </r>
    <r>
      <rPr>
        <b/>
        <sz val="7"/>
        <color indexed="8"/>
        <rFont val="Arial"/>
        <family val="2"/>
        <charset val="1"/>
      </rPr>
      <t>)+2 Spell Adder (</t>
    </r>
    <r>
      <rPr>
        <sz val="7"/>
        <color indexed="8"/>
        <rFont val="Arial"/>
        <family val="2"/>
        <charset val="1"/>
      </rPr>
      <t>20</t>
    </r>
    <r>
      <rPr>
        <b/>
        <sz val="7"/>
        <color indexed="8"/>
        <rFont val="Arial"/>
        <family val="2"/>
        <charset val="1"/>
      </rPr>
      <t>)+2 Spell Adder (</t>
    </r>
    <r>
      <rPr>
        <sz val="7"/>
        <color indexed="8"/>
        <rFont val="Arial"/>
        <family val="2"/>
        <charset val="1"/>
      </rPr>
      <t>20</t>
    </r>
    <r>
      <rPr>
        <b/>
        <sz val="7"/>
        <color indexed="8"/>
        <rFont val="Arial"/>
        <family val="2"/>
        <charset val="1"/>
      </rPr>
      <t>)+2 Spell Adder (</t>
    </r>
    <r>
      <rPr>
        <sz val="7"/>
        <color indexed="8"/>
        <rFont val="Arial"/>
        <family val="2"/>
        <charset val="1"/>
      </rPr>
      <t>20</t>
    </r>
    <r>
      <rPr>
        <b/>
        <sz val="7"/>
        <color indexed="8"/>
        <rFont val="Arial"/>
        <family val="2"/>
        <charset val="1"/>
      </rPr>
      <t>)</t>
    </r>
  </si>
  <si>
    <t>Faithful servant/lackey (20)</t>
  </si>
  <si>
    <t>Faithful servant/lackey (30)</t>
  </si>
  <si>
    <t>Knowledge of the location of an Earthnode (20)</t>
  </si>
  <si>
    <t>+1 Spell Adder (0)</t>
  </si>
  <si>
    <t>Power Awareness CAT 2</t>
  </si>
  <si>
    <t>Directed Spells CAT 1</t>
  </si>
  <si>
    <t>Self Control CAT 1</t>
  </si>
  <si>
    <t>Meditation 1</t>
  </si>
  <si>
    <t>Choice of one Evil Essence spell list 3</t>
  </si>
  <si>
    <t>Guild Apprentice (L), EC</t>
  </si>
  <si>
    <t>Favor from a guildmaster (40)</t>
  </si>
  <si>
    <t>Lore Book, +10 NM to one spesific lore (40)</t>
  </si>
  <si>
    <t>Rival apprentice (50)</t>
  </si>
  <si>
    <t>Lore Book, +10 NM to one spesific lore (30)</t>
  </si>
  <si>
    <t>Spell Adder +1 (30)</t>
  </si>
  <si>
    <r>
      <t>Daily II item (1</t>
    </r>
    <r>
      <rPr>
        <vertAlign val="superscript"/>
        <sz val="7"/>
        <color indexed="8"/>
        <rFont val="Arial"/>
        <family val="2"/>
        <charset val="1"/>
      </rPr>
      <t>st</t>
    </r>
    <r>
      <rPr>
        <sz val="7"/>
        <color indexed="8"/>
        <rFont val="Arial"/>
        <family val="2"/>
        <charset val="1"/>
      </rPr>
      <t xml:space="preserve"> level spell) (30)Daily II item (1</t>
    </r>
    <r>
      <rPr>
        <vertAlign val="superscript"/>
        <sz val="7"/>
        <color indexed="8"/>
        <rFont val="Arial"/>
        <family val="2"/>
        <charset val="1"/>
      </rPr>
      <t>st</t>
    </r>
    <r>
      <rPr>
        <sz val="7"/>
        <color indexed="8"/>
        <rFont val="Arial"/>
        <family val="2"/>
        <charset val="1"/>
      </rPr>
      <t xml:space="preserve"> level spell) (30)Daily II item (1</t>
    </r>
    <r>
      <rPr>
        <vertAlign val="superscript"/>
        <sz val="7"/>
        <color indexed="8"/>
        <rFont val="Arial"/>
        <family val="2"/>
        <charset val="1"/>
      </rPr>
      <t>st</t>
    </r>
    <r>
      <rPr>
        <sz val="7"/>
        <color indexed="8"/>
        <rFont val="Arial"/>
        <family val="2"/>
        <charset val="1"/>
      </rPr>
      <t xml:space="preserve"> level spell) (30)Daily II item (1</t>
    </r>
    <r>
      <rPr>
        <vertAlign val="superscript"/>
        <sz val="7"/>
        <color indexed="8"/>
        <rFont val="Arial"/>
        <family val="2"/>
        <charset val="1"/>
      </rPr>
      <t>st</t>
    </r>
    <r>
      <rPr>
        <sz val="7"/>
        <color indexed="8"/>
        <rFont val="Arial"/>
        <family val="2"/>
        <charset val="1"/>
      </rPr>
      <t xml:space="preserve"> level spell) (30)Daily II item (1</t>
    </r>
    <r>
      <rPr>
        <vertAlign val="superscript"/>
        <sz val="7"/>
        <color indexed="8"/>
        <rFont val="Arial"/>
        <family val="2"/>
        <charset val="1"/>
      </rPr>
      <t>st</t>
    </r>
    <r>
      <rPr>
        <sz val="7"/>
        <color indexed="8"/>
        <rFont val="Arial"/>
        <family val="2"/>
        <charset val="1"/>
      </rPr>
      <t xml:space="preserve"> level spell) (30)Daily II item (1</t>
    </r>
    <r>
      <rPr>
        <vertAlign val="superscript"/>
        <sz val="7"/>
        <color indexed="8"/>
        <rFont val="Arial"/>
        <family val="2"/>
        <charset val="1"/>
      </rPr>
      <t>st</t>
    </r>
    <r>
      <rPr>
        <sz val="7"/>
        <color indexed="8"/>
        <rFont val="Arial"/>
        <family val="2"/>
        <charset val="1"/>
      </rPr>
      <t xml:space="preserve"> level spell) (30)Daily II item (1</t>
    </r>
    <r>
      <rPr>
        <vertAlign val="superscript"/>
        <sz val="7"/>
        <color indexed="8"/>
        <rFont val="Arial"/>
        <family val="2"/>
        <charset val="1"/>
      </rPr>
      <t>st</t>
    </r>
    <r>
      <rPr>
        <sz val="7"/>
        <color indexed="8"/>
        <rFont val="Arial"/>
        <family val="2"/>
        <charset val="1"/>
      </rPr>
      <t xml:space="preserve"> level spell) (30)Daily II item (1</t>
    </r>
    <r>
      <rPr>
        <vertAlign val="superscript"/>
        <sz val="7"/>
        <color indexed="8"/>
        <rFont val="Arial"/>
        <family val="2"/>
        <charset val="1"/>
      </rPr>
      <t>st</t>
    </r>
    <r>
      <rPr>
        <sz val="7"/>
        <color indexed="8"/>
        <rFont val="Arial"/>
        <family val="2"/>
        <charset val="1"/>
      </rPr>
      <t xml:space="preserve"> level spell) (30)Daily II item (1</t>
    </r>
    <r>
      <rPr>
        <vertAlign val="superscript"/>
        <sz val="7"/>
        <color indexed="8"/>
        <rFont val="Arial"/>
        <family val="2"/>
        <charset val="1"/>
      </rPr>
      <t>st</t>
    </r>
    <r>
      <rPr>
        <sz val="7"/>
        <color indexed="8"/>
        <rFont val="Arial"/>
        <family val="2"/>
        <charset val="1"/>
      </rPr>
      <t xml:space="preserve"> level spell) (30)Daily II item (1</t>
    </r>
    <r>
      <rPr>
        <vertAlign val="superscript"/>
        <sz val="7"/>
        <color indexed="8"/>
        <rFont val="Arial"/>
        <family val="2"/>
        <charset val="1"/>
      </rPr>
      <t>st</t>
    </r>
    <r>
      <rPr>
        <sz val="7"/>
        <color indexed="8"/>
        <rFont val="Arial"/>
        <family val="2"/>
        <charset val="1"/>
      </rPr>
      <t xml:space="preserve"> level spell) (30)Daily II item (1</t>
    </r>
    <r>
      <rPr>
        <vertAlign val="superscript"/>
        <sz val="7"/>
        <color indexed="8"/>
        <rFont val="Arial"/>
        <family val="2"/>
        <charset val="1"/>
      </rPr>
      <t>st</t>
    </r>
    <r>
      <rPr>
        <sz val="7"/>
        <color indexed="8"/>
        <rFont val="Arial"/>
        <family val="2"/>
        <charset val="1"/>
      </rPr>
      <t xml:space="preserve"> level spell) (30)Daily II item (1</t>
    </r>
    <r>
      <rPr>
        <vertAlign val="superscript"/>
        <sz val="7"/>
        <color indexed="8"/>
        <rFont val="Arial"/>
        <family val="2"/>
        <charset val="1"/>
      </rPr>
      <t>st</t>
    </r>
    <r>
      <rPr>
        <sz val="7"/>
        <color indexed="8"/>
        <rFont val="Arial"/>
        <family val="2"/>
        <charset val="1"/>
      </rPr>
      <t xml:space="preserve"> level spell) (30)Daily II item (1</t>
    </r>
    <r>
      <rPr>
        <vertAlign val="superscript"/>
        <sz val="7"/>
        <color indexed="8"/>
        <rFont val="Arial"/>
        <family val="2"/>
        <charset val="1"/>
      </rPr>
      <t>st</t>
    </r>
    <r>
      <rPr>
        <sz val="7"/>
        <color indexed="8"/>
        <rFont val="Arial"/>
        <family val="2"/>
        <charset val="1"/>
      </rPr>
      <t xml:space="preserve"> level spell) (30)Daily II item (1</t>
    </r>
    <r>
      <rPr>
        <vertAlign val="superscript"/>
        <sz val="7"/>
        <color indexed="8"/>
        <rFont val="Arial"/>
        <family val="2"/>
        <charset val="1"/>
      </rPr>
      <t>st</t>
    </r>
    <r>
      <rPr>
        <sz val="7"/>
        <color indexed="8"/>
        <rFont val="Arial"/>
        <family val="2"/>
        <charset val="1"/>
      </rPr>
      <t xml:space="preserve"> level spell) (30)Daily II item (1</t>
    </r>
    <r>
      <rPr>
        <vertAlign val="superscript"/>
        <sz val="7"/>
        <color indexed="8"/>
        <rFont val="Arial"/>
        <family val="2"/>
        <charset val="1"/>
      </rPr>
      <t>st</t>
    </r>
    <r>
      <rPr>
        <sz val="7"/>
        <color indexed="8"/>
        <rFont val="Arial"/>
        <family val="2"/>
        <charset val="1"/>
      </rPr>
      <t xml:space="preserve"> level spell) (30)Daily II item (1</t>
    </r>
    <r>
      <rPr>
        <vertAlign val="superscript"/>
        <sz val="7"/>
        <color indexed="8"/>
        <rFont val="Arial"/>
        <family val="2"/>
        <charset val="1"/>
      </rPr>
      <t>st</t>
    </r>
    <r>
      <rPr>
        <sz val="7"/>
        <color indexed="8"/>
        <rFont val="Arial"/>
        <family val="2"/>
        <charset val="1"/>
      </rPr>
      <t xml:space="preserve"> level spell) (30)Daily II item (1</t>
    </r>
    <r>
      <rPr>
        <vertAlign val="superscript"/>
        <sz val="7"/>
        <color indexed="8"/>
        <rFont val="Arial"/>
        <family val="2"/>
        <charset val="1"/>
      </rPr>
      <t>st</t>
    </r>
    <r>
      <rPr>
        <sz val="7"/>
        <color indexed="8"/>
        <rFont val="Arial"/>
        <family val="2"/>
        <charset val="1"/>
      </rPr>
      <t xml:space="preserve"> level spell) (30)Daily II item (1</t>
    </r>
    <r>
      <rPr>
        <vertAlign val="superscript"/>
        <sz val="7"/>
        <color indexed="8"/>
        <rFont val="Arial"/>
        <family val="2"/>
        <charset val="1"/>
      </rPr>
      <t>st</t>
    </r>
    <r>
      <rPr>
        <sz val="7"/>
        <color indexed="8"/>
        <rFont val="Arial"/>
        <family val="2"/>
        <charset val="1"/>
      </rPr>
      <t xml:space="preserve"> level spell) (30)Daily II item (1</t>
    </r>
    <r>
      <rPr>
        <vertAlign val="superscript"/>
        <sz val="7"/>
        <color indexed="8"/>
        <rFont val="Arial"/>
        <family val="2"/>
        <charset val="1"/>
      </rPr>
      <t>st</t>
    </r>
    <r>
      <rPr>
        <sz val="7"/>
        <color indexed="8"/>
        <rFont val="Arial"/>
        <family val="2"/>
        <charset val="1"/>
      </rPr>
      <t xml:space="preserve"> level spell) (30)Daily II item (1</t>
    </r>
    <r>
      <rPr>
        <vertAlign val="superscript"/>
        <sz val="7"/>
        <color indexed="8"/>
        <rFont val="Arial"/>
        <family val="2"/>
        <charset val="1"/>
      </rPr>
      <t>st</t>
    </r>
    <r>
      <rPr>
        <sz val="7"/>
        <color indexed="8"/>
        <rFont val="Arial"/>
        <family val="2"/>
        <charset val="1"/>
      </rPr>
      <t xml:space="preserve"> level spell) (30)Daily II item (1</t>
    </r>
    <r>
      <rPr>
        <vertAlign val="superscript"/>
        <sz val="7"/>
        <color indexed="8"/>
        <rFont val="Arial"/>
        <family val="2"/>
        <charset val="1"/>
      </rPr>
      <t>st</t>
    </r>
    <r>
      <rPr>
        <sz val="7"/>
        <color indexed="8"/>
        <rFont val="Arial"/>
        <family val="2"/>
        <charset val="1"/>
      </rPr>
      <t xml:space="preserve"> level spell) (30)Daily II item (1</t>
    </r>
    <r>
      <rPr>
        <vertAlign val="superscript"/>
        <sz val="7"/>
        <color indexed="8"/>
        <rFont val="Arial"/>
        <family val="2"/>
        <charset val="1"/>
      </rPr>
      <t>st</t>
    </r>
    <r>
      <rPr>
        <sz val="7"/>
        <color indexed="8"/>
        <rFont val="Arial"/>
        <family val="2"/>
        <charset val="1"/>
      </rPr>
      <t xml:space="preserve"> level spell) (30)Daily II item (1</t>
    </r>
    <r>
      <rPr>
        <vertAlign val="superscript"/>
        <sz val="7"/>
        <color indexed="8"/>
        <rFont val="Arial"/>
        <family val="2"/>
        <charset val="1"/>
      </rPr>
      <t>st</t>
    </r>
    <r>
      <rPr>
        <sz val="7"/>
        <color indexed="8"/>
        <rFont val="Arial"/>
        <family val="2"/>
        <charset val="1"/>
      </rPr>
      <t xml:space="preserve"> level spell) (30)Daily II item (1</t>
    </r>
    <r>
      <rPr>
        <vertAlign val="superscript"/>
        <sz val="7"/>
        <color indexed="8"/>
        <rFont val="Arial"/>
        <family val="2"/>
        <charset val="1"/>
      </rPr>
      <t>st</t>
    </r>
    <r>
      <rPr>
        <sz val="7"/>
        <color indexed="8"/>
        <rFont val="Arial"/>
        <family val="2"/>
        <charset val="1"/>
      </rPr>
      <t xml:space="preserve"> level spell) (30)Daily II item (1</t>
    </r>
    <r>
      <rPr>
        <vertAlign val="superscript"/>
        <sz val="7"/>
        <color indexed="8"/>
        <rFont val="Arial"/>
        <family val="2"/>
        <charset val="1"/>
      </rPr>
      <t>st</t>
    </r>
    <r>
      <rPr>
        <sz val="7"/>
        <color indexed="8"/>
        <rFont val="Arial"/>
        <family val="2"/>
        <charset val="1"/>
      </rPr>
      <t xml:space="preserve"> level spell) (30)Daily II item (1</t>
    </r>
    <r>
      <rPr>
        <vertAlign val="superscript"/>
        <sz val="7"/>
        <color indexed="8"/>
        <rFont val="Arial"/>
        <family val="2"/>
        <charset val="1"/>
      </rPr>
      <t>st</t>
    </r>
    <r>
      <rPr>
        <sz val="7"/>
        <color indexed="8"/>
        <rFont val="Arial"/>
        <family val="2"/>
        <charset val="1"/>
      </rPr>
      <t xml:space="preserve"> level spell) (30)Daily II item (1</t>
    </r>
    <r>
      <rPr>
        <vertAlign val="superscript"/>
        <sz val="7"/>
        <color indexed="8"/>
        <rFont val="Arial"/>
        <family val="2"/>
        <charset val="1"/>
      </rPr>
      <t>st</t>
    </r>
    <r>
      <rPr>
        <sz val="7"/>
        <color indexed="8"/>
        <rFont val="Arial"/>
        <family val="2"/>
        <charset val="1"/>
      </rPr>
      <t xml:space="preserve"> level spell) (30)Daily II item (1</t>
    </r>
    <r>
      <rPr>
        <vertAlign val="superscript"/>
        <sz val="7"/>
        <color indexed="8"/>
        <rFont val="Arial"/>
        <family val="2"/>
        <charset val="1"/>
      </rPr>
      <t>st</t>
    </r>
    <r>
      <rPr>
        <sz val="7"/>
        <color indexed="8"/>
        <rFont val="Arial"/>
        <family val="2"/>
        <charset val="1"/>
      </rPr>
      <t xml:space="preserve"> level spell) (30)Daily II item (1</t>
    </r>
    <r>
      <rPr>
        <vertAlign val="superscript"/>
        <sz val="7"/>
        <color indexed="8"/>
        <rFont val="Arial"/>
        <family val="2"/>
        <charset val="1"/>
      </rPr>
      <t>st</t>
    </r>
    <r>
      <rPr>
        <sz val="7"/>
        <color indexed="8"/>
        <rFont val="Arial"/>
        <family val="2"/>
        <charset val="1"/>
      </rPr>
      <t xml:space="preserve"> level spell) (30)Daily II item (1</t>
    </r>
    <r>
      <rPr>
        <vertAlign val="superscript"/>
        <sz val="7"/>
        <color indexed="8"/>
        <rFont val="Arial"/>
        <family val="2"/>
        <charset val="1"/>
      </rPr>
      <t>st</t>
    </r>
    <r>
      <rPr>
        <sz val="7"/>
        <color indexed="8"/>
        <rFont val="Arial"/>
        <family val="2"/>
        <charset val="1"/>
      </rPr>
      <t xml:space="preserve"> level spell) (30)Daily II item (1</t>
    </r>
    <r>
      <rPr>
        <vertAlign val="superscript"/>
        <sz val="7"/>
        <color indexed="8"/>
        <rFont val="Arial"/>
        <family val="2"/>
        <charset val="1"/>
      </rPr>
      <t>st</t>
    </r>
    <r>
      <rPr>
        <sz val="7"/>
        <color indexed="8"/>
        <rFont val="Arial"/>
        <family val="2"/>
        <charset val="1"/>
      </rPr>
      <t xml:space="preserve"> level spell) (30)Daily II item (1</t>
    </r>
    <r>
      <rPr>
        <vertAlign val="superscript"/>
        <sz val="7"/>
        <color indexed="8"/>
        <rFont val="Arial"/>
        <family val="2"/>
        <charset val="1"/>
      </rPr>
      <t>st</t>
    </r>
    <r>
      <rPr>
        <sz val="7"/>
        <color indexed="8"/>
        <rFont val="Arial"/>
        <family val="2"/>
        <charset val="1"/>
      </rPr>
      <t xml:space="preserve"> level spell) (30)Daily II item (1</t>
    </r>
    <r>
      <rPr>
        <vertAlign val="superscript"/>
        <sz val="7"/>
        <color indexed="8"/>
        <rFont val="Arial"/>
        <family val="2"/>
        <charset val="1"/>
      </rPr>
      <t>st</t>
    </r>
    <r>
      <rPr>
        <sz val="7"/>
        <color indexed="8"/>
        <rFont val="Arial"/>
        <family val="2"/>
        <charset val="1"/>
      </rPr>
      <t xml:space="preserve"> level spell) (30)Daily II item (1</t>
    </r>
    <r>
      <rPr>
        <vertAlign val="superscript"/>
        <sz val="7"/>
        <color indexed="8"/>
        <rFont val="Arial"/>
        <family val="2"/>
        <charset val="1"/>
      </rPr>
      <t>st</t>
    </r>
    <r>
      <rPr>
        <sz val="7"/>
        <color indexed="8"/>
        <rFont val="Arial"/>
        <family val="2"/>
        <charset val="1"/>
      </rPr>
      <t xml:space="preserve"> level spell) (30)Daily II item (1</t>
    </r>
    <r>
      <rPr>
        <vertAlign val="superscript"/>
        <sz val="7"/>
        <color indexed="8"/>
        <rFont val="Arial"/>
        <family val="2"/>
        <charset val="1"/>
      </rPr>
      <t>st</t>
    </r>
    <r>
      <rPr>
        <sz val="7"/>
        <color indexed="8"/>
        <rFont val="Arial"/>
        <family val="2"/>
        <charset val="1"/>
      </rPr>
      <t xml:space="preserve"> level spell) (30)Daily II item (1</t>
    </r>
    <r>
      <rPr>
        <vertAlign val="superscript"/>
        <sz val="7"/>
        <color indexed="8"/>
        <rFont val="Arial"/>
        <family val="2"/>
        <charset val="1"/>
      </rPr>
      <t>st</t>
    </r>
    <r>
      <rPr>
        <sz val="7"/>
        <color indexed="8"/>
        <rFont val="Arial"/>
        <family val="2"/>
        <charset val="1"/>
      </rPr>
      <t xml:space="preserve"> level spell) (30)</t>
    </r>
  </si>
  <si>
    <t>Friendly contact at local library (60)</t>
  </si>
  <si>
    <t>Friendly contact at local pub (0)</t>
  </si>
  <si>
    <t>choice of Attunement or Read Runes 3 (total)</t>
  </si>
  <si>
    <t>Spell List – Own Realm TP List 0</t>
  </si>
  <si>
    <t>Guildcraft Mastery 3</t>
  </si>
  <si>
    <t>Technical/Trade – General CAT 2</t>
  </si>
  <si>
    <t>Total temp stats for ME and RE of 180 or greater (-5 points)</t>
  </si>
  <si>
    <t>Memory and realm stat</t>
  </si>
  <si>
    <t>Crystalist Caster (L), EC</t>
  </si>
  <si>
    <t>Necklace with large crystal 3d10 gp (20)</t>
  </si>
  <si>
    <t>Pendant with medium crystal d10 gp (30)</t>
  </si>
  <si>
    <t>Catalyst bracer (50)</t>
  </si>
  <si>
    <t>Broach with small crystals d10 gp (40)</t>
  </si>
  <si>
    <t>Two small crystal gemstones d10 gp (40)</t>
  </si>
  <si>
    <t>Mineral solution (1 pint) (30)</t>
  </si>
  <si>
    <t>Small crystal gemstone d10-5 gp (30)</t>
  </si>
  <si>
    <t>Tiny crystal gemstone d10 sp (0)</t>
  </si>
  <si>
    <t>Stone-crafting (Gem Cutting) 2</t>
  </si>
  <si>
    <t>Stone Lore 2</t>
  </si>
  <si>
    <t>Evaluate Stone 3</t>
  </si>
  <si>
    <t xml:space="preserve">Spells – TP CAT 0 </t>
  </si>
  <si>
    <t>Crystalist Casting Spell List 3</t>
  </si>
  <si>
    <t>Corpist Caster (L), EC</t>
  </si>
  <si>
    <t>Large Catalyst Case (9d10 corpus catalysts) (30)</t>
  </si>
  <si>
    <t>Medium Catalyst Case (5d10 corpus catalysts) (30)</t>
  </si>
  <si>
    <t>Small Catalyst Case (3d10 corpus catalysts) (30)</t>
  </si>
  <si>
    <t>Clip Necklace (30)</t>
  </si>
  <si>
    <t>Clip Pin (30)</t>
  </si>
  <si>
    <t>Curing Salts (10 lbs) (30)</t>
  </si>
  <si>
    <t>Preservation Oil (2 lbs) (30)</t>
  </si>
  <si>
    <t>Skinning Knife (60)</t>
  </si>
  <si>
    <t>Empty metal vials x3 (60)</t>
  </si>
  <si>
    <t>Catalysts 1gp worth (0)</t>
  </si>
  <si>
    <t>Outdoor – Environmental CAT 0</t>
  </si>
  <si>
    <t>Corpist Casting Spell List 3</t>
  </si>
  <si>
    <t>Weapon Master (L)</t>
  </si>
  <si>
    <t>Weapon +15 NM (40)</t>
  </si>
  <si>
    <t>Weapon skill CAT #1 5</t>
  </si>
  <si>
    <t>choice of up to five skills 5 (total)</t>
  </si>
  <si>
    <t>Weapon skill CAT #2 4</t>
  </si>
  <si>
    <t>Weapon skill CAT #3 3</t>
  </si>
  <si>
    <t>choice of one other skill 1</t>
  </si>
  <si>
    <t>Weapon skill CAT #4 1</t>
  </si>
  <si>
    <t>Catalyst Collector (V), EC</t>
  </si>
  <si>
    <t>Large Catalyst Case (3d10 random catalysts) (30)</t>
  </si>
  <si>
    <t>Medium Catalyst Case (2d10 random catalysts) (30)</t>
  </si>
  <si>
    <t>Small Catalyst Case (d10 random catalysts) (30)</t>
  </si>
  <si>
    <t>Favor from an important spell user (30)</t>
  </si>
  <si>
    <t>Skinning Knife, +10 skinning (40)</t>
  </si>
  <si>
    <t>Pack Animal (60)</t>
  </si>
  <si>
    <t>Weather resistant clothing (0)</t>
  </si>
  <si>
    <t>Using Prepared Herbs 1</t>
  </si>
  <si>
    <t>Hedge Wizard (L), EC</t>
  </si>
  <si>
    <t>Divination Aid, +15 divination (50)</t>
  </si>
  <si>
    <t>Ritual Focus, +10 to one class of ritual (40)</t>
  </si>
  <si>
    <t>Daily I item (2nd level spell) (30)</t>
  </si>
  <si>
    <t>Ritual Focus, +5 to one class of ritual (40)</t>
  </si>
  <si>
    <t>Incense, 10 doses (40)</t>
  </si>
  <si>
    <t>Prefume, 5 doses (40)</t>
  </si>
  <si>
    <t>Lodestone (40)</t>
  </si>
  <si>
    <t>Silver Mirror (40)</t>
  </si>
  <si>
    <t>Favorable reputation (20)</t>
  </si>
  <si>
    <t>Disreputable reputation (30)</t>
  </si>
  <si>
    <t>Divination Aid, +5 divination (0)</t>
  </si>
  <si>
    <t>Situational Awareness (ritual) 3</t>
  </si>
  <si>
    <t>Time Sense 3</t>
  </si>
  <si>
    <t>Propaganda 1</t>
  </si>
  <si>
    <t>Teaching 2</t>
  </si>
  <si>
    <t>Meditiation 2</t>
  </si>
  <si>
    <t>Divination 2</t>
  </si>
  <si>
    <t>Magical Ritual – choice of up to 3 classes 6 (total)</t>
  </si>
  <si>
    <t>Magic Bane flaw (-7 points)</t>
  </si>
  <si>
    <t>Magic Ritual, Spell Mastery</t>
  </si>
  <si>
    <t>Herbalist Caster (L), EC</t>
  </si>
  <si>
    <t>Large Catalyst Case (9d10 herbal catalysts) (50)</t>
  </si>
  <si>
    <t>Medium Catalyst Case (5d10 herbal catalysts) (40)</t>
  </si>
  <si>
    <t>Clip Necklace (40)</t>
  </si>
  <si>
    <t>Small Catalyst Case (3d10 herbal catalysts) (30)</t>
  </si>
  <si>
    <t>Small clay flower pots x 6 (30)</t>
  </si>
  <si>
    <t>Clip Broach (20)</t>
  </si>
  <si>
    <t>Gardening kit (40)</t>
  </si>
  <si>
    <t>Bag of Seeds, 5d10 seeds to herbal catalysts (20)</t>
  </si>
  <si>
    <t>Catalysts, 1gp worth (0)</t>
  </si>
  <si>
    <t>Flora Lore 3</t>
  </si>
  <si>
    <t>Lore – Technical CAT 0</t>
  </si>
  <si>
    <t>Herbalist Casting TP Skill List 3</t>
  </si>
  <si>
    <t>Flora Lore, Herb Lore</t>
  </si>
  <si>
    <t>Journeying Apprentice (L), EC</t>
  </si>
  <si>
    <r>
      <t>Daily III Item (3</t>
    </r>
    <r>
      <rPr>
        <vertAlign val="superscript"/>
        <sz val="7"/>
        <color indexed="8"/>
        <rFont val="Arial"/>
        <family val="2"/>
        <charset val="1"/>
      </rPr>
      <t>rd</t>
    </r>
    <r>
      <rPr>
        <sz val="7"/>
        <color indexed="8"/>
        <rFont val="Arial"/>
        <family val="2"/>
        <charset val="1"/>
      </rPr>
      <t xml:space="preserve"> level spell) (30)Daily III Item (3</t>
    </r>
    <r>
      <rPr>
        <vertAlign val="superscript"/>
        <sz val="7"/>
        <color indexed="8"/>
        <rFont val="Arial"/>
        <family val="2"/>
        <charset val="1"/>
      </rPr>
      <t>rd</t>
    </r>
    <r>
      <rPr>
        <sz val="7"/>
        <color indexed="8"/>
        <rFont val="Arial"/>
        <family val="2"/>
        <charset val="1"/>
      </rPr>
      <t xml:space="preserve"> level spell) (30)Daily III Item (3</t>
    </r>
    <r>
      <rPr>
        <vertAlign val="superscript"/>
        <sz val="7"/>
        <color indexed="8"/>
        <rFont val="Arial"/>
        <family val="2"/>
        <charset val="1"/>
      </rPr>
      <t>rd</t>
    </r>
    <r>
      <rPr>
        <sz val="7"/>
        <color indexed="8"/>
        <rFont val="Arial"/>
        <family val="2"/>
        <charset val="1"/>
      </rPr>
      <t xml:space="preserve"> level spell) (30)Daily III Item (3</t>
    </r>
    <r>
      <rPr>
        <vertAlign val="superscript"/>
        <sz val="7"/>
        <color indexed="8"/>
        <rFont val="Arial"/>
        <family val="2"/>
        <charset val="1"/>
      </rPr>
      <t>rd</t>
    </r>
    <r>
      <rPr>
        <sz val="7"/>
        <color indexed="8"/>
        <rFont val="Arial"/>
        <family val="2"/>
        <charset val="1"/>
      </rPr>
      <t xml:space="preserve"> level spell) (30)Daily III Item (3</t>
    </r>
    <r>
      <rPr>
        <vertAlign val="superscript"/>
        <sz val="7"/>
        <color indexed="8"/>
        <rFont val="Arial"/>
        <family val="2"/>
        <charset val="1"/>
      </rPr>
      <t>rd</t>
    </r>
    <r>
      <rPr>
        <sz val="7"/>
        <color indexed="8"/>
        <rFont val="Arial"/>
        <family val="2"/>
        <charset val="1"/>
      </rPr>
      <t xml:space="preserve"> level spell) (30)Daily III Item (3</t>
    </r>
    <r>
      <rPr>
        <vertAlign val="superscript"/>
        <sz val="7"/>
        <color indexed="8"/>
        <rFont val="Arial"/>
        <family val="2"/>
        <charset val="1"/>
      </rPr>
      <t>rd</t>
    </r>
    <r>
      <rPr>
        <sz val="7"/>
        <color indexed="8"/>
        <rFont val="Arial"/>
        <family val="2"/>
        <charset val="1"/>
      </rPr>
      <t xml:space="preserve"> level spell) (30)Daily III Item (3</t>
    </r>
    <r>
      <rPr>
        <vertAlign val="superscript"/>
        <sz val="7"/>
        <color indexed="8"/>
        <rFont val="Arial"/>
        <family val="2"/>
        <charset val="1"/>
      </rPr>
      <t>rd</t>
    </r>
    <r>
      <rPr>
        <sz val="7"/>
        <color indexed="8"/>
        <rFont val="Arial"/>
        <family val="2"/>
        <charset val="1"/>
      </rPr>
      <t xml:space="preserve"> level spell) (30)Daily III Item (3</t>
    </r>
    <r>
      <rPr>
        <vertAlign val="superscript"/>
        <sz val="7"/>
        <color indexed="8"/>
        <rFont val="Arial"/>
        <family val="2"/>
        <charset val="1"/>
      </rPr>
      <t>rd</t>
    </r>
    <r>
      <rPr>
        <sz val="7"/>
        <color indexed="8"/>
        <rFont val="Arial"/>
        <family val="2"/>
        <charset val="1"/>
      </rPr>
      <t xml:space="preserve"> level spell) (30)Daily III Item (3</t>
    </r>
    <r>
      <rPr>
        <vertAlign val="superscript"/>
        <sz val="7"/>
        <color indexed="8"/>
        <rFont val="Arial"/>
        <family val="2"/>
        <charset val="1"/>
      </rPr>
      <t>rd</t>
    </r>
    <r>
      <rPr>
        <sz val="7"/>
        <color indexed="8"/>
        <rFont val="Arial"/>
        <family val="2"/>
        <charset val="1"/>
      </rPr>
      <t xml:space="preserve"> level spell) (30)Daily III Item (3</t>
    </r>
    <r>
      <rPr>
        <vertAlign val="superscript"/>
        <sz val="7"/>
        <color indexed="8"/>
        <rFont val="Arial"/>
        <family val="2"/>
        <charset val="1"/>
      </rPr>
      <t>rd</t>
    </r>
    <r>
      <rPr>
        <sz val="7"/>
        <color indexed="8"/>
        <rFont val="Arial"/>
        <family val="2"/>
        <charset val="1"/>
      </rPr>
      <t xml:space="preserve"> level spell) (30)Daily III Item (3</t>
    </r>
    <r>
      <rPr>
        <vertAlign val="superscript"/>
        <sz val="7"/>
        <color indexed="8"/>
        <rFont val="Arial"/>
        <family val="2"/>
        <charset val="1"/>
      </rPr>
      <t>rd</t>
    </r>
    <r>
      <rPr>
        <sz val="7"/>
        <color indexed="8"/>
        <rFont val="Arial"/>
        <family val="2"/>
        <charset val="1"/>
      </rPr>
      <t xml:space="preserve"> level spell) (30)Daily III Item (3</t>
    </r>
    <r>
      <rPr>
        <vertAlign val="superscript"/>
        <sz val="7"/>
        <color indexed="8"/>
        <rFont val="Arial"/>
        <family val="2"/>
        <charset val="1"/>
      </rPr>
      <t>rd</t>
    </r>
    <r>
      <rPr>
        <sz val="7"/>
        <color indexed="8"/>
        <rFont val="Arial"/>
        <family val="2"/>
        <charset val="1"/>
      </rPr>
      <t xml:space="preserve"> level spell) (30)Daily III Item (3</t>
    </r>
    <r>
      <rPr>
        <vertAlign val="superscript"/>
        <sz val="7"/>
        <color indexed="8"/>
        <rFont val="Arial"/>
        <family val="2"/>
        <charset val="1"/>
      </rPr>
      <t>rd</t>
    </r>
    <r>
      <rPr>
        <sz val="7"/>
        <color indexed="8"/>
        <rFont val="Arial"/>
        <family val="2"/>
        <charset val="1"/>
      </rPr>
      <t xml:space="preserve"> level spell) (30)Daily III Item (3</t>
    </r>
    <r>
      <rPr>
        <vertAlign val="superscript"/>
        <sz val="7"/>
        <color indexed="8"/>
        <rFont val="Arial"/>
        <family val="2"/>
        <charset val="1"/>
      </rPr>
      <t>rd</t>
    </r>
    <r>
      <rPr>
        <sz val="7"/>
        <color indexed="8"/>
        <rFont val="Arial"/>
        <family val="2"/>
        <charset val="1"/>
      </rPr>
      <t xml:space="preserve"> level spell) (30)Daily III Item (3</t>
    </r>
    <r>
      <rPr>
        <vertAlign val="superscript"/>
        <sz val="7"/>
        <color indexed="8"/>
        <rFont val="Arial"/>
        <family val="2"/>
        <charset val="1"/>
      </rPr>
      <t>rd</t>
    </r>
    <r>
      <rPr>
        <sz val="7"/>
        <color indexed="8"/>
        <rFont val="Arial"/>
        <family val="2"/>
        <charset val="1"/>
      </rPr>
      <t xml:space="preserve"> level spell) (30)Daily III Item (3</t>
    </r>
    <r>
      <rPr>
        <vertAlign val="superscript"/>
        <sz val="7"/>
        <color indexed="8"/>
        <rFont val="Arial"/>
        <family val="2"/>
        <charset val="1"/>
      </rPr>
      <t>rd</t>
    </r>
    <r>
      <rPr>
        <sz val="7"/>
        <color indexed="8"/>
        <rFont val="Arial"/>
        <family val="2"/>
        <charset val="1"/>
      </rPr>
      <t xml:space="preserve"> level spell) (30)Daily III Item (3</t>
    </r>
    <r>
      <rPr>
        <vertAlign val="superscript"/>
        <sz val="7"/>
        <color indexed="8"/>
        <rFont val="Arial"/>
        <family val="2"/>
        <charset val="1"/>
      </rPr>
      <t>rd</t>
    </r>
    <r>
      <rPr>
        <sz val="7"/>
        <color indexed="8"/>
        <rFont val="Arial"/>
        <family val="2"/>
        <charset val="1"/>
      </rPr>
      <t xml:space="preserve"> level spell) (30)Daily III Item (3</t>
    </r>
    <r>
      <rPr>
        <vertAlign val="superscript"/>
        <sz val="7"/>
        <color indexed="8"/>
        <rFont val="Arial"/>
        <family val="2"/>
        <charset val="1"/>
      </rPr>
      <t>rd</t>
    </r>
    <r>
      <rPr>
        <sz val="7"/>
        <color indexed="8"/>
        <rFont val="Arial"/>
        <family val="2"/>
        <charset val="1"/>
      </rPr>
      <t xml:space="preserve"> level spell) (30)Daily III Item (3</t>
    </r>
    <r>
      <rPr>
        <vertAlign val="superscript"/>
        <sz val="7"/>
        <color indexed="8"/>
        <rFont val="Arial"/>
        <family val="2"/>
        <charset val="1"/>
      </rPr>
      <t>rd</t>
    </r>
    <r>
      <rPr>
        <sz val="7"/>
        <color indexed="8"/>
        <rFont val="Arial"/>
        <family val="2"/>
        <charset val="1"/>
      </rPr>
      <t xml:space="preserve"> level spell) (30)Daily III Item (3</t>
    </r>
    <r>
      <rPr>
        <vertAlign val="superscript"/>
        <sz val="7"/>
        <color indexed="8"/>
        <rFont val="Arial"/>
        <family val="2"/>
        <charset val="1"/>
      </rPr>
      <t>rd</t>
    </r>
    <r>
      <rPr>
        <sz val="7"/>
        <color indexed="8"/>
        <rFont val="Arial"/>
        <family val="2"/>
        <charset val="1"/>
      </rPr>
      <t xml:space="preserve"> level spell) (30)Daily III Item (3</t>
    </r>
    <r>
      <rPr>
        <vertAlign val="superscript"/>
        <sz val="7"/>
        <color indexed="8"/>
        <rFont val="Arial"/>
        <family val="2"/>
        <charset val="1"/>
      </rPr>
      <t>rd</t>
    </r>
    <r>
      <rPr>
        <sz val="7"/>
        <color indexed="8"/>
        <rFont val="Arial"/>
        <family val="2"/>
        <charset val="1"/>
      </rPr>
      <t xml:space="preserve"> level spell) (30)Daily III Item (3</t>
    </r>
    <r>
      <rPr>
        <vertAlign val="superscript"/>
        <sz val="7"/>
        <color indexed="8"/>
        <rFont val="Arial"/>
        <family val="2"/>
        <charset val="1"/>
      </rPr>
      <t>rd</t>
    </r>
    <r>
      <rPr>
        <sz val="7"/>
        <color indexed="8"/>
        <rFont val="Arial"/>
        <family val="2"/>
        <charset val="1"/>
      </rPr>
      <t xml:space="preserve"> level spell) (30)Daily III Item (3</t>
    </r>
    <r>
      <rPr>
        <vertAlign val="superscript"/>
        <sz val="7"/>
        <color indexed="8"/>
        <rFont val="Arial"/>
        <family val="2"/>
        <charset val="1"/>
      </rPr>
      <t>rd</t>
    </r>
    <r>
      <rPr>
        <sz val="7"/>
        <color indexed="8"/>
        <rFont val="Arial"/>
        <family val="2"/>
        <charset val="1"/>
      </rPr>
      <t xml:space="preserve"> level spell) (30)Daily III Item (3</t>
    </r>
    <r>
      <rPr>
        <vertAlign val="superscript"/>
        <sz val="7"/>
        <color indexed="8"/>
        <rFont val="Arial"/>
        <family val="2"/>
        <charset val="1"/>
      </rPr>
      <t>rd</t>
    </r>
    <r>
      <rPr>
        <sz val="7"/>
        <color indexed="8"/>
        <rFont val="Arial"/>
        <family val="2"/>
        <charset val="1"/>
      </rPr>
      <t xml:space="preserve"> level spell) (30)Daily III Item (3</t>
    </r>
    <r>
      <rPr>
        <vertAlign val="superscript"/>
        <sz val="7"/>
        <color indexed="8"/>
        <rFont val="Arial"/>
        <family val="2"/>
        <charset val="1"/>
      </rPr>
      <t>rd</t>
    </r>
    <r>
      <rPr>
        <sz val="7"/>
        <color indexed="8"/>
        <rFont val="Arial"/>
        <family val="2"/>
        <charset val="1"/>
      </rPr>
      <t xml:space="preserve"> level spell) (30)</t>
    </r>
  </si>
  <si>
    <t>Spell Adder +2 (30)</t>
  </si>
  <si>
    <t>Map of the Region, +20 to Region Lore (50)</t>
  </si>
  <si>
    <r>
      <t>Daily II Item (</t>
    </r>
    <r>
      <rPr>
        <vertAlign val="superscript"/>
        <sz val="7"/>
        <color indexed="8"/>
        <rFont val="Arial"/>
        <family val="2"/>
        <charset val="1"/>
      </rPr>
      <t>2nd</t>
    </r>
    <r>
      <rPr>
        <sz val="7"/>
        <color indexed="8"/>
        <rFont val="Arial"/>
        <family val="2"/>
        <charset val="1"/>
      </rPr>
      <t xml:space="preserve"> level spell) (40)Daily II Item (</t>
    </r>
    <r>
      <rPr>
        <vertAlign val="superscript"/>
        <sz val="7"/>
        <color indexed="8"/>
        <rFont val="Arial"/>
        <family val="2"/>
        <charset val="1"/>
      </rPr>
      <t>2nd</t>
    </r>
    <r>
      <rPr>
        <sz val="7"/>
        <color indexed="8"/>
        <rFont val="Arial"/>
        <family val="2"/>
        <charset val="1"/>
      </rPr>
      <t xml:space="preserve"> level spell) (40)Daily II Item (</t>
    </r>
    <r>
      <rPr>
        <vertAlign val="superscript"/>
        <sz val="7"/>
        <color indexed="8"/>
        <rFont val="Arial"/>
        <family val="2"/>
        <charset val="1"/>
      </rPr>
      <t>2nd</t>
    </r>
    <r>
      <rPr>
        <sz val="7"/>
        <color indexed="8"/>
        <rFont val="Arial"/>
        <family val="2"/>
        <charset val="1"/>
      </rPr>
      <t xml:space="preserve"> level spell) (40)Daily II Item (</t>
    </r>
    <r>
      <rPr>
        <vertAlign val="superscript"/>
        <sz val="7"/>
        <color indexed="8"/>
        <rFont val="Arial"/>
        <family val="2"/>
        <charset val="1"/>
      </rPr>
      <t>2nd</t>
    </r>
    <r>
      <rPr>
        <sz val="7"/>
        <color indexed="8"/>
        <rFont val="Arial"/>
        <family val="2"/>
        <charset val="1"/>
      </rPr>
      <t xml:space="preserve"> level spell) (40)Daily II Item (</t>
    </r>
    <r>
      <rPr>
        <vertAlign val="superscript"/>
        <sz val="7"/>
        <color indexed="8"/>
        <rFont val="Arial"/>
        <family val="2"/>
        <charset val="1"/>
      </rPr>
      <t>2nd</t>
    </r>
    <r>
      <rPr>
        <sz val="7"/>
        <color indexed="8"/>
        <rFont val="Arial"/>
        <family val="2"/>
        <charset val="1"/>
      </rPr>
      <t xml:space="preserve"> level spell) (40)Daily II Item (</t>
    </r>
    <r>
      <rPr>
        <vertAlign val="superscript"/>
        <sz val="7"/>
        <color indexed="8"/>
        <rFont val="Arial"/>
        <family val="2"/>
        <charset val="1"/>
      </rPr>
      <t>2nd</t>
    </r>
    <r>
      <rPr>
        <sz val="7"/>
        <color indexed="8"/>
        <rFont val="Arial"/>
        <family val="2"/>
        <charset val="1"/>
      </rPr>
      <t xml:space="preserve"> level spell) (40)Daily II Item (</t>
    </r>
    <r>
      <rPr>
        <vertAlign val="superscript"/>
        <sz val="7"/>
        <color indexed="8"/>
        <rFont val="Arial"/>
        <family val="2"/>
        <charset val="1"/>
      </rPr>
      <t>2nd</t>
    </r>
    <r>
      <rPr>
        <sz val="7"/>
        <color indexed="8"/>
        <rFont val="Arial"/>
        <family val="2"/>
        <charset val="1"/>
      </rPr>
      <t xml:space="preserve"> level spell) (40)Daily II Item (</t>
    </r>
    <r>
      <rPr>
        <vertAlign val="superscript"/>
        <sz val="7"/>
        <color indexed="8"/>
        <rFont val="Arial"/>
        <family val="2"/>
        <charset val="1"/>
      </rPr>
      <t>2nd</t>
    </r>
    <r>
      <rPr>
        <sz val="7"/>
        <color indexed="8"/>
        <rFont val="Arial"/>
        <family val="2"/>
        <charset val="1"/>
      </rPr>
      <t xml:space="preserve"> level spell) (40)Daily II Item (</t>
    </r>
    <r>
      <rPr>
        <vertAlign val="superscript"/>
        <sz val="7"/>
        <color indexed="8"/>
        <rFont val="Arial"/>
        <family val="2"/>
        <charset val="1"/>
      </rPr>
      <t>2nd</t>
    </r>
    <r>
      <rPr>
        <sz val="7"/>
        <color indexed="8"/>
        <rFont val="Arial"/>
        <family val="2"/>
        <charset val="1"/>
      </rPr>
      <t xml:space="preserve"> level spell) (40)Daily II Item (</t>
    </r>
    <r>
      <rPr>
        <vertAlign val="superscript"/>
        <sz val="7"/>
        <color indexed="8"/>
        <rFont val="Arial"/>
        <family val="2"/>
        <charset val="1"/>
      </rPr>
      <t>2nd</t>
    </r>
    <r>
      <rPr>
        <sz val="7"/>
        <color indexed="8"/>
        <rFont val="Arial"/>
        <family val="2"/>
        <charset val="1"/>
      </rPr>
      <t xml:space="preserve"> level spell) (40)Daily II Item (</t>
    </r>
    <r>
      <rPr>
        <vertAlign val="superscript"/>
        <sz val="7"/>
        <color indexed="8"/>
        <rFont val="Arial"/>
        <family val="2"/>
        <charset val="1"/>
      </rPr>
      <t>2nd</t>
    </r>
    <r>
      <rPr>
        <sz val="7"/>
        <color indexed="8"/>
        <rFont val="Arial"/>
        <family val="2"/>
        <charset val="1"/>
      </rPr>
      <t xml:space="preserve"> level spell) (40)Daily II Item (</t>
    </r>
    <r>
      <rPr>
        <vertAlign val="superscript"/>
        <sz val="7"/>
        <color indexed="8"/>
        <rFont val="Arial"/>
        <family val="2"/>
        <charset val="1"/>
      </rPr>
      <t>2nd</t>
    </r>
    <r>
      <rPr>
        <sz val="7"/>
        <color indexed="8"/>
        <rFont val="Arial"/>
        <family val="2"/>
        <charset val="1"/>
      </rPr>
      <t xml:space="preserve"> level spell) (40)Daily II Item (</t>
    </r>
    <r>
      <rPr>
        <vertAlign val="superscript"/>
        <sz val="7"/>
        <color indexed="8"/>
        <rFont val="Arial"/>
        <family val="2"/>
        <charset val="1"/>
      </rPr>
      <t>2nd</t>
    </r>
    <r>
      <rPr>
        <sz val="7"/>
        <color indexed="8"/>
        <rFont val="Arial"/>
        <family val="2"/>
        <charset val="1"/>
      </rPr>
      <t xml:space="preserve"> level spell) (40)Daily II Item (</t>
    </r>
    <r>
      <rPr>
        <vertAlign val="superscript"/>
        <sz val="7"/>
        <color indexed="8"/>
        <rFont val="Arial"/>
        <family val="2"/>
        <charset val="1"/>
      </rPr>
      <t>2nd</t>
    </r>
    <r>
      <rPr>
        <sz val="7"/>
        <color indexed="8"/>
        <rFont val="Arial"/>
        <family val="2"/>
        <charset val="1"/>
      </rPr>
      <t xml:space="preserve"> level spell) (40)Daily II Item (</t>
    </r>
    <r>
      <rPr>
        <vertAlign val="superscript"/>
        <sz val="7"/>
        <color indexed="8"/>
        <rFont val="Arial"/>
        <family val="2"/>
        <charset val="1"/>
      </rPr>
      <t>2nd</t>
    </r>
    <r>
      <rPr>
        <sz val="7"/>
        <color indexed="8"/>
        <rFont val="Arial"/>
        <family val="2"/>
        <charset val="1"/>
      </rPr>
      <t xml:space="preserve"> level spell) (40)Daily II Item (</t>
    </r>
    <r>
      <rPr>
        <vertAlign val="superscript"/>
        <sz val="7"/>
        <color indexed="8"/>
        <rFont val="Arial"/>
        <family val="2"/>
        <charset val="1"/>
      </rPr>
      <t>2nd</t>
    </r>
    <r>
      <rPr>
        <sz val="7"/>
        <color indexed="8"/>
        <rFont val="Arial"/>
        <family val="2"/>
        <charset val="1"/>
      </rPr>
      <t xml:space="preserve"> level spell) (40)Daily II Item (</t>
    </r>
    <r>
      <rPr>
        <vertAlign val="superscript"/>
        <sz val="7"/>
        <color indexed="8"/>
        <rFont val="Arial"/>
        <family val="2"/>
        <charset val="1"/>
      </rPr>
      <t>2nd</t>
    </r>
    <r>
      <rPr>
        <sz val="7"/>
        <color indexed="8"/>
        <rFont val="Arial"/>
        <family val="2"/>
        <charset val="1"/>
      </rPr>
      <t xml:space="preserve"> level spell) (40)Daily II Item (</t>
    </r>
    <r>
      <rPr>
        <vertAlign val="superscript"/>
        <sz val="7"/>
        <color indexed="8"/>
        <rFont val="Arial"/>
        <family val="2"/>
        <charset val="1"/>
      </rPr>
      <t>2nd</t>
    </r>
    <r>
      <rPr>
        <sz val="7"/>
        <color indexed="8"/>
        <rFont val="Arial"/>
        <family val="2"/>
        <charset val="1"/>
      </rPr>
      <t xml:space="preserve"> level spell) (40)Daily II Item (</t>
    </r>
    <r>
      <rPr>
        <vertAlign val="superscript"/>
        <sz val="7"/>
        <color indexed="8"/>
        <rFont val="Arial"/>
        <family val="2"/>
        <charset val="1"/>
      </rPr>
      <t>2nd</t>
    </r>
    <r>
      <rPr>
        <sz val="7"/>
        <color indexed="8"/>
        <rFont val="Arial"/>
        <family val="2"/>
        <charset val="1"/>
      </rPr>
      <t xml:space="preserve"> level spell) (40)Daily II Item (</t>
    </r>
    <r>
      <rPr>
        <vertAlign val="superscript"/>
        <sz val="7"/>
        <color indexed="8"/>
        <rFont val="Arial"/>
        <family val="2"/>
        <charset val="1"/>
      </rPr>
      <t>2nd</t>
    </r>
    <r>
      <rPr>
        <sz val="7"/>
        <color indexed="8"/>
        <rFont val="Arial"/>
        <family val="2"/>
        <charset val="1"/>
      </rPr>
      <t xml:space="preserve"> level spell) (40)Daily II Item (</t>
    </r>
    <r>
      <rPr>
        <vertAlign val="superscript"/>
        <sz val="7"/>
        <color indexed="8"/>
        <rFont val="Arial"/>
        <family val="2"/>
        <charset val="1"/>
      </rPr>
      <t>2nd</t>
    </r>
    <r>
      <rPr>
        <sz val="7"/>
        <color indexed="8"/>
        <rFont val="Arial"/>
        <family val="2"/>
        <charset val="1"/>
      </rPr>
      <t xml:space="preserve"> level spell) (40)Daily II Item (</t>
    </r>
    <r>
      <rPr>
        <vertAlign val="superscript"/>
        <sz val="7"/>
        <color indexed="8"/>
        <rFont val="Arial"/>
        <family val="2"/>
        <charset val="1"/>
      </rPr>
      <t>2nd</t>
    </r>
    <r>
      <rPr>
        <sz val="7"/>
        <color indexed="8"/>
        <rFont val="Arial"/>
        <family val="2"/>
        <charset val="1"/>
      </rPr>
      <t xml:space="preserve"> level spell) (40)Daily II Item (</t>
    </r>
    <r>
      <rPr>
        <vertAlign val="superscript"/>
        <sz val="7"/>
        <color indexed="8"/>
        <rFont val="Arial"/>
        <family val="2"/>
        <charset val="1"/>
      </rPr>
      <t>2nd</t>
    </r>
    <r>
      <rPr>
        <sz val="7"/>
        <color indexed="8"/>
        <rFont val="Arial"/>
        <family val="2"/>
        <charset val="1"/>
      </rPr>
      <t xml:space="preserve"> level spell) (40)Daily II Item (</t>
    </r>
    <r>
      <rPr>
        <vertAlign val="superscript"/>
        <sz val="7"/>
        <color indexed="8"/>
        <rFont val="Arial"/>
        <family val="2"/>
        <charset val="1"/>
      </rPr>
      <t>2nd</t>
    </r>
    <r>
      <rPr>
        <sz val="7"/>
        <color indexed="8"/>
        <rFont val="Arial"/>
        <family val="2"/>
        <charset val="1"/>
      </rPr>
      <t xml:space="preserve"> level spell) (40)Daily II Item (</t>
    </r>
    <r>
      <rPr>
        <vertAlign val="superscript"/>
        <sz val="7"/>
        <color indexed="8"/>
        <rFont val="Arial"/>
        <family val="2"/>
        <charset val="1"/>
      </rPr>
      <t>2nd</t>
    </r>
    <r>
      <rPr>
        <sz val="7"/>
        <color indexed="8"/>
        <rFont val="Arial"/>
        <family val="2"/>
        <charset val="1"/>
      </rPr>
      <t xml:space="preserve"> level spell) (40)</t>
    </r>
  </si>
  <si>
    <t>Spyglass (30)</t>
  </si>
  <si>
    <t>Spell Adder +1 (40)</t>
  </si>
  <si>
    <r>
      <t>Daily I Item (</t>
    </r>
    <r>
      <rPr>
        <vertAlign val="superscript"/>
        <sz val="7"/>
        <color indexed="8"/>
        <rFont val="Arial"/>
        <family val="2"/>
        <charset val="1"/>
      </rPr>
      <t>1st</t>
    </r>
    <r>
      <rPr>
        <sz val="7"/>
        <color indexed="8"/>
        <rFont val="Arial"/>
        <family val="2"/>
        <charset val="1"/>
      </rPr>
      <t xml:space="preserve"> level spell) (60)Daily I Item (</t>
    </r>
    <r>
      <rPr>
        <vertAlign val="superscript"/>
        <sz val="7"/>
        <color indexed="8"/>
        <rFont val="Arial"/>
        <family val="2"/>
        <charset val="1"/>
      </rPr>
      <t>1st</t>
    </r>
    <r>
      <rPr>
        <sz val="7"/>
        <color indexed="8"/>
        <rFont val="Arial"/>
        <family val="2"/>
        <charset val="1"/>
      </rPr>
      <t xml:space="preserve"> level spell) (60)Daily I Item (</t>
    </r>
    <r>
      <rPr>
        <vertAlign val="superscript"/>
        <sz val="7"/>
        <color indexed="8"/>
        <rFont val="Arial"/>
        <family val="2"/>
        <charset val="1"/>
      </rPr>
      <t>1st</t>
    </r>
    <r>
      <rPr>
        <sz val="7"/>
        <color indexed="8"/>
        <rFont val="Arial"/>
        <family val="2"/>
        <charset val="1"/>
      </rPr>
      <t xml:space="preserve"> level spell) (60)Daily I Item (</t>
    </r>
    <r>
      <rPr>
        <vertAlign val="superscript"/>
        <sz val="7"/>
        <color indexed="8"/>
        <rFont val="Arial"/>
        <family val="2"/>
        <charset val="1"/>
      </rPr>
      <t>1st</t>
    </r>
    <r>
      <rPr>
        <sz val="7"/>
        <color indexed="8"/>
        <rFont val="Arial"/>
        <family val="2"/>
        <charset val="1"/>
      </rPr>
      <t xml:space="preserve"> level spell) (60)Daily I Item (</t>
    </r>
    <r>
      <rPr>
        <vertAlign val="superscript"/>
        <sz val="7"/>
        <color indexed="8"/>
        <rFont val="Arial"/>
        <family val="2"/>
        <charset val="1"/>
      </rPr>
      <t>1st</t>
    </r>
    <r>
      <rPr>
        <sz val="7"/>
        <color indexed="8"/>
        <rFont val="Arial"/>
        <family val="2"/>
        <charset val="1"/>
      </rPr>
      <t xml:space="preserve"> level spell) (60)Daily I Item (</t>
    </r>
    <r>
      <rPr>
        <vertAlign val="superscript"/>
        <sz val="7"/>
        <color indexed="8"/>
        <rFont val="Arial"/>
        <family val="2"/>
        <charset val="1"/>
      </rPr>
      <t>1st</t>
    </r>
    <r>
      <rPr>
        <sz val="7"/>
        <color indexed="8"/>
        <rFont val="Arial"/>
        <family val="2"/>
        <charset val="1"/>
      </rPr>
      <t xml:space="preserve"> level spell) (60)Daily I Item (</t>
    </r>
    <r>
      <rPr>
        <vertAlign val="superscript"/>
        <sz val="7"/>
        <color indexed="8"/>
        <rFont val="Arial"/>
        <family val="2"/>
        <charset val="1"/>
      </rPr>
      <t>1st</t>
    </r>
    <r>
      <rPr>
        <sz val="7"/>
        <color indexed="8"/>
        <rFont val="Arial"/>
        <family val="2"/>
        <charset val="1"/>
      </rPr>
      <t xml:space="preserve"> level spell) (60)Daily I Item (</t>
    </r>
    <r>
      <rPr>
        <vertAlign val="superscript"/>
        <sz val="7"/>
        <color indexed="8"/>
        <rFont val="Arial"/>
        <family val="2"/>
        <charset val="1"/>
      </rPr>
      <t>1st</t>
    </r>
    <r>
      <rPr>
        <sz val="7"/>
        <color indexed="8"/>
        <rFont val="Arial"/>
        <family val="2"/>
        <charset val="1"/>
      </rPr>
      <t xml:space="preserve"> level spell) (60)Daily I Item (</t>
    </r>
    <r>
      <rPr>
        <vertAlign val="superscript"/>
        <sz val="7"/>
        <color indexed="8"/>
        <rFont val="Arial"/>
        <family val="2"/>
        <charset val="1"/>
      </rPr>
      <t>1st</t>
    </r>
    <r>
      <rPr>
        <sz val="7"/>
        <color indexed="8"/>
        <rFont val="Arial"/>
        <family val="2"/>
        <charset val="1"/>
      </rPr>
      <t xml:space="preserve"> level spell) (60)Daily I Item (</t>
    </r>
    <r>
      <rPr>
        <vertAlign val="superscript"/>
        <sz val="7"/>
        <color indexed="8"/>
        <rFont val="Arial"/>
        <family val="2"/>
        <charset val="1"/>
      </rPr>
      <t>1st</t>
    </r>
    <r>
      <rPr>
        <sz val="7"/>
        <color indexed="8"/>
        <rFont val="Arial"/>
        <family val="2"/>
        <charset val="1"/>
      </rPr>
      <t xml:space="preserve"> level spell) (60)Daily I Item (</t>
    </r>
    <r>
      <rPr>
        <vertAlign val="superscript"/>
        <sz val="7"/>
        <color indexed="8"/>
        <rFont val="Arial"/>
        <family val="2"/>
        <charset val="1"/>
      </rPr>
      <t>1st</t>
    </r>
    <r>
      <rPr>
        <sz val="7"/>
        <color indexed="8"/>
        <rFont val="Arial"/>
        <family val="2"/>
        <charset val="1"/>
      </rPr>
      <t xml:space="preserve"> level spell) (60)Daily I Item (</t>
    </r>
    <r>
      <rPr>
        <vertAlign val="superscript"/>
        <sz val="7"/>
        <color indexed="8"/>
        <rFont val="Arial"/>
        <family val="2"/>
        <charset val="1"/>
      </rPr>
      <t>1st</t>
    </r>
    <r>
      <rPr>
        <sz val="7"/>
        <color indexed="8"/>
        <rFont val="Arial"/>
        <family val="2"/>
        <charset val="1"/>
      </rPr>
      <t xml:space="preserve"> level spell) (60)Daily I Item (</t>
    </r>
    <r>
      <rPr>
        <vertAlign val="superscript"/>
        <sz val="7"/>
        <color indexed="8"/>
        <rFont val="Arial"/>
        <family val="2"/>
        <charset val="1"/>
      </rPr>
      <t>1st</t>
    </r>
    <r>
      <rPr>
        <sz val="7"/>
        <color indexed="8"/>
        <rFont val="Arial"/>
        <family val="2"/>
        <charset val="1"/>
      </rPr>
      <t xml:space="preserve"> level spell) (60)Daily I Item (</t>
    </r>
    <r>
      <rPr>
        <vertAlign val="superscript"/>
        <sz val="7"/>
        <color indexed="8"/>
        <rFont val="Arial"/>
        <family val="2"/>
        <charset val="1"/>
      </rPr>
      <t>1st</t>
    </r>
    <r>
      <rPr>
        <sz val="7"/>
        <color indexed="8"/>
        <rFont val="Arial"/>
        <family val="2"/>
        <charset val="1"/>
      </rPr>
      <t xml:space="preserve"> level spell) (60)Daily I Item (</t>
    </r>
    <r>
      <rPr>
        <vertAlign val="superscript"/>
        <sz val="7"/>
        <color indexed="8"/>
        <rFont val="Arial"/>
        <family val="2"/>
        <charset val="1"/>
      </rPr>
      <t>1st</t>
    </r>
    <r>
      <rPr>
        <sz val="7"/>
        <color indexed="8"/>
        <rFont val="Arial"/>
        <family val="2"/>
        <charset val="1"/>
      </rPr>
      <t xml:space="preserve"> level spell) (60)Daily I Item (</t>
    </r>
    <r>
      <rPr>
        <vertAlign val="superscript"/>
        <sz val="7"/>
        <color indexed="8"/>
        <rFont val="Arial"/>
        <family val="2"/>
        <charset val="1"/>
      </rPr>
      <t>1st</t>
    </r>
    <r>
      <rPr>
        <sz val="7"/>
        <color indexed="8"/>
        <rFont val="Arial"/>
        <family val="2"/>
        <charset val="1"/>
      </rPr>
      <t xml:space="preserve"> level spell) (60)Daily I Item (</t>
    </r>
    <r>
      <rPr>
        <vertAlign val="superscript"/>
        <sz val="7"/>
        <color indexed="8"/>
        <rFont val="Arial"/>
        <family val="2"/>
        <charset val="1"/>
      </rPr>
      <t>1st</t>
    </r>
    <r>
      <rPr>
        <sz val="7"/>
        <color indexed="8"/>
        <rFont val="Arial"/>
        <family val="2"/>
        <charset val="1"/>
      </rPr>
      <t xml:space="preserve"> level spell) (60)Daily I Item (</t>
    </r>
    <r>
      <rPr>
        <vertAlign val="superscript"/>
        <sz val="7"/>
        <color indexed="8"/>
        <rFont val="Arial"/>
        <family val="2"/>
        <charset val="1"/>
      </rPr>
      <t>1st</t>
    </r>
    <r>
      <rPr>
        <sz val="7"/>
        <color indexed="8"/>
        <rFont val="Arial"/>
        <family val="2"/>
        <charset val="1"/>
      </rPr>
      <t xml:space="preserve"> level spell) (60)Daily I Item (</t>
    </r>
    <r>
      <rPr>
        <vertAlign val="superscript"/>
        <sz val="7"/>
        <color indexed="8"/>
        <rFont val="Arial"/>
        <family val="2"/>
        <charset val="1"/>
      </rPr>
      <t>1st</t>
    </r>
    <r>
      <rPr>
        <sz val="7"/>
        <color indexed="8"/>
        <rFont val="Arial"/>
        <family val="2"/>
        <charset val="1"/>
      </rPr>
      <t xml:space="preserve"> level spell) (60)Daily I Item (</t>
    </r>
    <r>
      <rPr>
        <vertAlign val="superscript"/>
        <sz val="7"/>
        <color indexed="8"/>
        <rFont val="Arial"/>
        <family val="2"/>
        <charset val="1"/>
      </rPr>
      <t>1st</t>
    </r>
    <r>
      <rPr>
        <sz val="7"/>
        <color indexed="8"/>
        <rFont val="Arial"/>
        <family val="2"/>
        <charset val="1"/>
      </rPr>
      <t xml:space="preserve"> level spell) (60)Daily I Item (</t>
    </r>
    <r>
      <rPr>
        <vertAlign val="superscript"/>
        <sz val="7"/>
        <color indexed="8"/>
        <rFont val="Arial"/>
        <family val="2"/>
        <charset val="1"/>
      </rPr>
      <t>1st</t>
    </r>
    <r>
      <rPr>
        <sz val="7"/>
        <color indexed="8"/>
        <rFont val="Arial"/>
        <family val="2"/>
        <charset val="1"/>
      </rPr>
      <t xml:space="preserve"> level spell) (60)Daily I Item (</t>
    </r>
    <r>
      <rPr>
        <vertAlign val="superscript"/>
        <sz val="7"/>
        <color indexed="8"/>
        <rFont val="Arial"/>
        <family val="2"/>
        <charset val="1"/>
      </rPr>
      <t>1st</t>
    </r>
    <r>
      <rPr>
        <sz val="7"/>
        <color indexed="8"/>
        <rFont val="Arial"/>
        <family val="2"/>
        <charset val="1"/>
      </rPr>
      <t xml:space="preserve"> level spell) (60)Daily I Item (</t>
    </r>
    <r>
      <rPr>
        <vertAlign val="superscript"/>
        <sz val="7"/>
        <color indexed="8"/>
        <rFont val="Arial"/>
        <family val="2"/>
        <charset val="1"/>
      </rPr>
      <t>1st</t>
    </r>
    <r>
      <rPr>
        <sz val="7"/>
        <color indexed="8"/>
        <rFont val="Arial"/>
        <family val="2"/>
        <charset val="1"/>
      </rPr>
      <t xml:space="preserve"> level spell) (60)Daily I Item (</t>
    </r>
    <r>
      <rPr>
        <vertAlign val="superscript"/>
        <sz val="7"/>
        <color indexed="8"/>
        <rFont val="Arial"/>
        <family val="2"/>
        <charset val="1"/>
      </rPr>
      <t>1st</t>
    </r>
    <r>
      <rPr>
        <sz val="7"/>
        <color indexed="8"/>
        <rFont val="Arial"/>
        <family val="2"/>
        <charset val="1"/>
      </rPr>
      <t xml:space="preserve"> level spell) (60)Daily I Item (</t>
    </r>
    <r>
      <rPr>
        <vertAlign val="superscript"/>
        <sz val="7"/>
        <color indexed="8"/>
        <rFont val="Arial"/>
        <family val="2"/>
        <charset val="1"/>
      </rPr>
      <t>1st</t>
    </r>
    <r>
      <rPr>
        <sz val="7"/>
        <color indexed="8"/>
        <rFont val="Arial"/>
        <family val="2"/>
        <charset val="1"/>
      </rPr>
      <t xml:space="preserve"> level spell) (60)</t>
    </r>
  </si>
  <si>
    <t>Compact cooking set (30)</t>
  </si>
  <si>
    <t>Riding animal (10)</t>
  </si>
  <si>
    <t>Weatherproof clothes (0)</t>
  </si>
  <si>
    <t>choice of up to 3 skills 3 (total)</t>
  </si>
  <si>
    <t>Power Awareness Cat 1</t>
  </si>
  <si>
    <t>Spell Lists – Own realm TP list CAT 0</t>
  </si>
  <si>
    <t>Traveler's Ways 3</t>
  </si>
  <si>
    <t>Librarian (V), EC</t>
  </si>
  <si>
    <t>Rare Book, 15gp or less value (30)</t>
  </si>
  <si>
    <t>Lore Book, +10 to a spesific lore (50)</t>
  </si>
  <si>
    <t>Spectacles (20)</t>
  </si>
  <si>
    <t>Lore Book, +10 to a spesific lore (40)</t>
  </si>
  <si>
    <t>Metal scroll case (40)</t>
  </si>
  <si>
    <t>Stationary set (20 paper, 5 quills, 2 jars of ink) (40)</t>
  </si>
  <si>
    <t>Lore Book, +5 to a spesific lore (0)</t>
  </si>
  <si>
    <t>choice of up to two written languages 4 (total)</t>
  </si>
  <si>
    <t>Scribing 3</t>
  </si>
  <si>
    <t>Diplomacy 1</t>
  </si>
  <si>
    <t>Research 2</t>
  </si>
  <si>
    <t>Nomenist Caster (L), EC</t>
  </si>
  <si>
    <t>Lore Book, +10 to one language (40)</t>
  </si>
  <si>
    <t>Lore Book, +5 to one language (40)</t>
  </si>
  <si>
    <t>Map of Area +10 (30)</t>
  </si>
  <si>
    <t>Favor from a foreigner (30)</t>
  </si>
  <si>
    <t>Lore Book, +10 to one Culture Lore (20)</t>
  </si>
  <si>
    <t>Bag of 100 glass beads (40)</t>
  </si>
  <si>
    <t>Lore Book, +5 to one Culture Lore (0)</t>
  </si>
  <si>
    <t>History 1</t>
  </si>
  <si>
    <t>Science/Analytic – Spesialised CAT 0</t>
  </si>
  <si>
    <t>Anthropology 2</t>
  </si>
  <si>
    <t>Nomenist Casting TP List 3</t>
  </si>
  <si>
    <t>Potioner (L), EC</t>
  </si>
  <si>
    <t>Small Alchemy set (20)</t>
  </si>
  <si>
    <r>
      <t>Potion, 5</t>
    </r>
    <r>
      <rPr>
        <vertAlign val="superscript"/>
        <sz val="7"/>
        <color indexed="8"/>
        <rFont val="Arial"/>
        <family val="2"/>
        <charset val="1"/>
      </rPr>
      <t>th</t>
    </r>
    <r>
      <rPr>
        <sz val="7"/>
        <color indexed="8"/>
        <rFont val="Arial"/>
        <family val="2"/>
        <charset val="1"/>
      </rPr>
      <t xml:space="preserve"> level spell (30)Potion, 5</t>
    </r>
    <r>
      <rPr>
        <vertAlign val="superscript"/>
        <sz val="7"/>
        <color indexed="8"/>
        <rFont val="Arial"/>
        <family val="2"/>
        <charset val="1"/>
      </rPr>
      <t>th</t>
    </r>
    <r>
      <rPr>
        <sz val="7"/>
        <color indexed="8"/>
        <rFont val="Arial"/>
        <family val="2"/>
        <charset val="1"/>
      </rPr>
      <t xml:space="preserve"> level spell (30)Potion, 5</t>
    </r>
    <r>
      <rPr>
        <vertAlign val="superscript"/>
        <sz val="7"/>
        <color indexed="8"/>
        <rFont val="Arial"/>
        <family val="2"/>
        <charset val="1"/>
      </rPr>
      <t>th</t>
    </r>
    <r>
      <rPr>
        <sz val="7"/>
        <color indexed="8"/>
        <rFont val="Arial"/>
        <family val="2"/>
        <charset val="1"/>
      </rPr>
      <t xml:space="preserve"> level spell (30)Potion, 5</t>
    </r>
    <r>
      <rPr>
        <vertAlign val="superscript"/>
        <sz val="7"/>
        <color indexed="8"/>
        <rFont val="Arial"/>
        <family val="2"/>
        <charset val="1"/>
      </rPr>
      <t>th</t>
    </r>
    <r>
      <rPr>
        <sz val="7"/>
        <color indexed="8"/>
        <rFont val="Arial"/>
        <family val="2"/>
        <charset val="1"/>
      </rPr>
      <t xml:space="preserve"> level spell (30)Potion, 5</t>
    </r>
    <r>
      <rPr>
        <vertAlign val="superscript"/>
        <sz val="7"/>
        <color indexed="8"/>
        <rFont val="Arial"/>
        <family val="2"/>
        <charset val="1"/>
      </rPr>
      <t>th</t>
    </r>
    <r>
      <rPr>
        <sz val="7"/>
        <color indexed="8"/>
        <rFont val="Arial"/>
        <family val="2"/>
        <charset val="1"/>
      </rPr>
      <t xml:space="preserve"> level spell (30)Potion, 5</t>
    </r>
    <r>
      <rPr>
        <vertAlign val="superscript"/>
        <sz val="7"/>
        <color indexed="8"/>
        <rFont val="Arial"/>
        <family val="2"/>
        <charset val="1"/>
      </rPr>
      <t>th</t>
    </r>
    <r>
      <rPr>
        <sz val="7"/>
        <color indexed="8"/>
        <rFont val="Arial"/>
        <family val="2"/>
        <charset val="1"/>
      </rPr>
      <t xml:space="preserve"> level spell (30)Potion, 5</t>
    </r>
    <r>
      <rPr>
        <vertAlign val="superscript"/>
        <sz val="7"/>
        <color indexed="8"/>
        <rFont val="Arial"/>
        <family val="2"/>
        <charset val="1"/>
      </rPr>
      <t>th</t>
    </r>
    <r>
      <rPr>
        <sz val="7"/>
        <color indexed="8"/>
        <rFont val="Arial"/>
        <family val="2"/>
        <charset val="1"/>
      </rPr>
      <t xml:space="preserve"> level spell (30)Potion, 5</t>
    </r>
    <r>
      <rPr>
        <vertAlign val="superscript"/>
        <sz val="7"/>
        <color indexed="8"/>
        <rFont val="Arial"/>
        <family val="2"/>
        <charset val="1"/>
      </rPr>
      <t>th</t>
    </r>
    <r>
      <rPr>
        <sz val="7"/>
        <color indexed="8"/>
        <rFont val="Arial"/>
        <family val="2"/>
        <charset val="1"/>
      </rPr>
      <t xml:space="preserve"> level spell (30)Potion, 5</t>
    </r>
    <r>
      <rPr>
        <vertAlign val="superscript"/>
        <sz val="7"/>
        <color indexed="8"/>
        <rFont val="Arial"/>
        <family val="2"/>
        <charset val="1"/>
      </rPr>
      <t>th</t>
    </r>
    <r>
      <rPr>
        <sz val="7"/>
        <color indexed="8"/>
        <rFont val="Arial"/>
        <family val="2"/>
        <charset val="1"/>
      </rPr>
      <t xml:space="preserve"> level spell (30)Potion, 5</t>
    </r>
    <r>
      <rPr>
        <vertAlign val="superscript"/>
        <sz val="7"/>
        <color indexed="8"/>
        <rFont val="Arial"/>
        <family val="2"/>
        <charset val="1"/>
      </rPr>
      <t>th</t>
    </r>
    <r>
      <rPr>
        <sz val="7"/>
        <color indexed="8"/>
        <rFont val="Arial"/>
        <family val="2"/>
        <charset val="1"/>
      </rPr>
      <t xml:space="preserve"> level spell (30)Potion, 5</t>
    </r>
    <r>
      <rPr>
        <vertAlign val="superscript"/>
        <sz val="7"/>
        <color indexed="8"/>
        <rFont val="Arial"/>
        <family val="2"/>
        <charset val="1"/>
      </rPr>
      <t>th</t>
    </r>
    <r>
      <rPr>
        <sz val="7"/>
        <color indexed="8"/>
        <rFont val="Arial"/>
        <family val="2"/>
        <charset val="1"/>
      </rPr>
      <t xml:space="preserve"> level spell (30)Potion, 5</t>
    </r>
    <r>
      <rPr>
        <vertAlign val="superscript"/>
        <sz val="7"/>
        <color indexed="8"/>
        <rFont val="Arial"/>
        <family val="2"/>
        <charset val="1"/>
      </rPr>
      <t>th</t>
    </r>
    <r>
      <rPr>
        <sz val="7"/>
        <color indexed="8"/>
        <rFont val="Arial"/>
        <family val="2"/>
        <charset val="1"/>
      </rPr>
      <t xml:space="preserve"> level spell (30)Potion, 5</t>
    </r>
    <r>
      <rPr>
        <vertAlign val="superscript"/>
        <sz val="7"/>
        <color indexed="8"/>
        <rFont val="Arial"/>
        <family val="2"/>
        <charset val="1"/>
      </rPr>
      <t>th</t>
    </r>
    <r>
      <rPr>
        <sz val="7"/>
        <color indexed="8"/>
        <rFont val="Arial"/>
        <family val="2"/>
        <charset val="1"/>
      </rPr>
      <t xml:space="preserve"> level spell (30)Potion, 5</t>
    </r>
    <r>
      <rPr>
        <vertAlign val="superscript"/>
        <sz val="7"/>
        <color indexed="8"/>
        <rFont val="Arial"/>
        <family val="2"/>
        <charset val="1"/>
      </rPr>
      <t>th</t>
    </r>
    <r>
      <rPr>
        <sz val="7"/>
        <color indexed="8"/>
        <rFont val="Arial"/>
        <family val="2"/>
        <charset val="1"/>
      </rPr>
      <t xml:space="preserve"> level spell (30)Potion, 5</t>
    </r>
    <r>
      <rPr>
        <vertAlign val="superscript"/>
        <sz val="7"/>
        <color indexed="8"/>
        <rFont val="Arial"/>
        <family val="2"/>
        <charset val="1"/>
      </rPr>
      <t>th</t>
    </r>
    <r>
      <rPr>
        <sz val="7"/>
        <color indexed="8"/>
        <rFont val="Arial"/>
        <family val="2"/>
        <charset val="1"/>
      </rPr>
      <t xml:space="preserve"> level spell (30)Potion, 5</t>
    </r>
    <r>
      <rPr>
        <vertAlign val="superscript"/>
        <sz val="7"/>
        <color indexed="8"/>
        <rFont val="Arial"/>
        <family val="2"/>
        <charset val="1"/>
      </rPr>
      <t>th</t>
    </r>
    <r>
      <rPr>
        <sz val="7"/>
        <color indexed="8"/>
        <rFont val="Arial"/>
        <family val="2"/>
        <charset val="1"/>
      </rPr>
      <t xml:space="preserve"> level spell (30)Potion, 5</t>
    </r>
    <r>
      <rPr>
        <vertAlign val="superscript"/>
        <sz val="7"/>
        <color indexed="8"/>
        <rFont val="Arial"/>
        <family val="2"/>
        <charset val="1"/>
      </rPr>
      <t>th</t>
    </r>
    <r>
      <rPr>
        <sz val="7"/>
        <color indexed="8"/>
        <rFont val="Arial"/>
        <family val="2"/>
        <charset val="1"/>
      </rPr>
      <t xml:space="preserve"> level spell (30)Potion, 5</t>
    </r>
    <r>
      <rPr>
        <vertAlign val="superscript"/>
        <sz val="7"/>
        <color indexed="8"/>
        <rFont val="Arial"/>
        <family val="2"/>
        <charset val="1"/>
      </rPr>
      <t>th</t>
    </r>
    <r>
      <rPr>
        <sz val="7"/>
        <color indexed="8"/>
        <rFont val="Arial"/>
        <family val="2"/>
        <charset val="1"/>
      </rPr>
      <t xml:space="preserve"> level spell (30)Potion, 5</t>
    </r>
    <r>
      <rPr>
        <vertAlign val="superscript"/>
        <sz val="7"/>
        <color indexed="8"/>
        <rFont val="Arial"/>
        <family val="2"/>
        <charset val="1"/>
      </rPr>
      <t>th</t>
    </r>
    <r>
      <rPr>
        <sz val="7"/>
        <color indexed="8"/>
        <rFont val="Arial"/>
        <family val="2"/>
        <charset val="1"/>
      </rPr>
      <t xml:space="preserve"> level spell (30)Potion, 5</t>
    </r>
    <r>
      <rPr>
        <vertAlign val="superscript"/>
        <sz val="7"/>
        <color indexed="8"/>
        <rFont val="Arial"/>
        <family val="2"/>
        <charset val="1"/>
      </rPr>
      <t>th</t>
    </r>
    <r>
      <rPr>
        <sz val="7"/>
        <color indexed="8"/>
        <rFont val="Arial"/>
        <family val="2"/>
        <charset val="1"/>
      </rPr>
      <t xml:space="preserve"> level spell (30)Potion, 5</t>
    </r>
    <r>
      <rPr>
        <vertAlign val="superscript"/>
        <sz val="7"/>
        <color indexed="8"/>
        <rFont val="Arial"/>
        <family val="2"/>
        <charset val="1"/>
      </rPr>
      <t>th</t>
    </r>
    <r>
      <rPr>
        <sz val="7"/>
        <color indexed="8"/>
        <rFont val="Arial"/>
        <family val="2"/>
        <charset val="1"/>
      </rPr>
      <t xml:space="preserve"> level spell (30)Potion, 5</t>
    </r>
    <r>
      <rPr>
        <vertAlign val="superscript"/>
        <sz val="7"/>
        <color indexed="8"/>
        <rFont val="Arial"/>
        <family val="2"/>
        <charset val="1"/>
      </rPr>
      <t>th</t>
    </r>
    <r>
      <rPr>
        <sz val="7"/>
        <color indexed="8"/>
        <rFont val="Arial"/>
        <family val="2"/>
        <charset val="1"/>
      </rPr>
      <t xml:space="preserve"> level spell (30)Potion, 5</t>
    </r>
    <r>
      <rPr>
        <vertAlign val="superscript"/>
        <sz val="7"/>
        <color indexed="8"/>
        <rFont val="Arial"/>
        <family val="2"/>
        <charset val="1"/>
      </rPr>
      <t>th</t>
    </r>
    <r>
      <rPr>
        <sz val="7"/>
        <color indexed="8"/>
        <rFont val="Arial"/>
        <family val="2"/>
        <charset val="1"/>
      </rPr>
      <t xml:space="preserve"> level spell (30)Potion, 5</t>
    </r>
    <r>
      <rPr>
        <vertAlign val="superscript"/>
        <sz val="7"/>
        <color indexed="8"/>
        <rFont val="Arial"/>
        <family val="2"/>
        <charset val="1"/>
      </rPr>
      <t>th</t>
    </r>
    <r>
      <rPr>
        <sz val="7"/>
        <color indexed="8"/>
        <rFont val="Arial"/>
        <family val="2"/>
        <charset val="1"/>
      </rPr>
      <t xml:space="preserve"> level spell (30)Potion, 5</t>
    </r>
    <r>
      <rPr>
        <vertAlign val="superscript"/>
        <sz val="7"/>
        <color indexed="8"/>
        <rFont val="Arial"/>
        <family val="2"/>
        <charset val="1"/>
      </rPr>
      <t>th</t>
    </r>
    <r>
      <rPr>
        <sz val="7"/>
        <color indexed="8"/>
        <rFont val="Arial"/>
        <family val="2"/>
        <charset val="1"/>
      </rPr>
      <t xml:space="preserve"> level spell (30)</t>
    </r>
  </si>
  <si>
    <t>Healing Potion, 2-20 hp (30)</t>
  </si>
  <si>
    <r>
      <t>Poison, 5</t>
    </r>
    <r>
      <rPr>
        <vertAlign val="superscript"/>
        <sz val="7"/>
        <color indexed="8"/>
        <rFont val="Arial"/>
        <family val="2"/>
        <charset val="1"/>
      </rPr>
      <t>th</t>
    </r>
    <r>
      <rPr>
        <sz val="7"/>
        <color indexed="8"/>
        <rFont val="Arial"/>
        <family val="2"/>
        <charset val="1"/>
      </rPr>
      <t xml:space="preserve"> level circulatory (30)Poison, 5</t>
    </r>
    <r>
      <rPr>
        <vertAlign val="superscript"/>
        <sz val="7"/>
        <color indexed="8"/>
        <rFont val="Arial"/>
        <family val="2"/>
        <charset val="1"/>
      </rPr>
      <t>th</t>
    </r>
    <r>
      <rPr>
        <sz val="7"/>
        <color indexed="8"/>
        <rFont val="Arial"/>
        <family val="2"/>
        <charset val="1"/>
      </rPr>
      <t xml:space="preserve"> level circulatory (30)Poison, 5</t>
    </r>
    <r>
      <rPr>
        <vertAlign val="superscript"/>
        <sz val="7"/>
        <color indexed="8"/>
        <rFont val="Arial"/>
        <family val="2"/>
        <charset val="1"/>
      </rPr>
      <t>th</t>
    </r>
    <r>
      <rPr>
        <sz val="7"/>
        <color indexed="8"/>
        <rFont val="Arial"/>
        <family val="2"/>
        <charset val="1"/>
      </rPr>
      <t xml:space="preserve"> level circulatory (30)Poison, 5</t>
    </r>
    <r>
      <rPr>
        <vertAlign val="superscript"/>
        <sz val="7"/>
        <color indexed="8"/>
        <rFont val="Arial"/>
        <family val="2"/>
        <charset val="1"/>
      </rPr>
      <t>th</t>
    </r>
    <r>
      <rPr>
        <sz val="7"/>
        <color indexed="8"/>
        <rFont val="Arial"/>
        <family val="2"/>
        <charset val="1"/>
      </rPr>
      <t xml:space="preserve"> level circulatory (30)Poison, 5</t>
    </r>
    <r>
      <rPr>
        <vertAlign val="superscript"/>
        <sz val="7"/>
        <color indexed="8"/>
        <rFont val="Arial"/>
        <family val="2"/>
        <charset val="1"/>
      </rPr>
      <t>th</t>
    </r>
    <r>
      <rPr>
        <sz val="7"/>
        <color indexed="8"/>
        <rFont val="Arial"/>
        <family val="2"/>
        <charset val="1"/>
      </rPr>
      <t xml:space="preserve"> level circulatory (30)Poison, 5</t>
    </r>
    <r>
      <rPr>
        <vertAlign val="superscript"/>
        <sz val="7"/>
        <color indexed="8"/>
        <rFont val="Arial"/>
        <family val="2"/>
        <charset val="1"/>
      </rPr>
      <t>th</t>
    </r>
    <r>
      <rPr>
        <sz val="7"/>
        <color indexed="8"/>
        <rFont val="Arial"/>
        <family val="2"/>
        <charset val="1"/>
      </rPr>
      <t xml:space="preserve"> level circulatory (30)Poison, 5</t>
    </r>
    <r>
      <rPr>
        <vertAlign val="superscript"/>
        <sz val="7"/>
        <color indexed="8"/>
        <rFont val="Arial"/>
        <family val="2"/>
        <charset val="1"/>
      </rPr>
      <t>th</t>
    </r>
    <r>
      <rPr>
        <sz val="7"/>
        <color indexed="8"/>
        <rFont val="Arial"/>
        <family val="2"/>
        <charset val="1"/>
      </rPr>
      <t xml:space="preserve"> level circulatory (30)Poison, 5</t>
    </r>
    <r>
      <rPr>
        <vertAlign val="superscript"/>
        <sz val="7"/>
        <color indexed="8"/>
        <rFont val="Arial"/>
        <family val="2"/>
        <charset val="1"/>
      </rPr>
      <t>th</t>
    </r>
    <r>
      <rPr>
        <sz val="7"/>
        <color indexed="8"/>
        <rFont val="Arial"/>
        <family val="2"/>
        <charset val="1"/>
      </rPr>
      <t xml:space="preserve"> level circulatory (30)Poison, 5</t>
    </r>
    <r>
      <rPr>
        <vertAlign val="superscript"/>
        <sz val="7"/>
        <color indexed="8"/>
        <rFont val="Arial"/>
        <family val="2"/>
        <charset val="1"/>
      </rPr>
      <t>th</t>
    </r>
    <r>
      <rPr>
        <sz val="7"/>
        <color indexed="8"/>
        <rFont val="Arial"/>
        <family val="2"/>
        <charset val="1"/>
      </rPr>
      <t xml:space="preserve"> level circulatory (30)Poison, 5</t>
    </r>
    <r>
      <rPr>
        <vertAlign val="superscript"/>
        <sz val="7"/>
        <color indexed="8"/>
        <rFont val="Arial"/>
        <family val="2"/>
        <charset val="1"/>
      </rPr>
      <t>th</t>
    </r>
    <r>
      <rPr>
        <sz val="7"/>
        <color indexed="8"/>
        <rFont val="Arial"/>
        <family val="2"/>
        <charset val="1"/>
      </rPr>
      <t xml:space="preserve"> level circulatory (30)Poison, 5</t>
    </r>
    <r>
      <rPr>
        <vertAlign val="superscript"/>
        <sz val="7"/>
        <color indexed="8"/>
        <rFont val="Arial"/>
        <family val="2"/>
        <charset val="1"/>
      </rPr>
      <t>th</t>
    </r>
    <r>
      <rPr>
        <sz val="7"/>
        <color indexed="8"/>
        <rFont val="Arial"/>
        <family val="2"/>
        <charset val="1"/>
      </rPr>
      <t xml:space="preserve"> level circulatory (30)Poison, 5</t>
    </r>
    <r>
      <rPr>
        <vertAlign val="superscript"/>
        <sz val="7"/>
        <color indexed="8"/>
        <rFont val="Arial"/>
        <family val="2"/>
        <charset val="1"/>
      </rPr>
      <t>th</t>
    </r>
    <r>
      <rPr>
        <sz val="7"/>
        <color indexed="8"/>
        <rFont val="Arial"/>
        <family val="2"/>
        <charset val="1"/>
      </rPr>
      <t xml:space="preserve"> level circulatory (30)Poison, 5</t>
    </r>
    <r>
      <rPr>
        <vertAlign val="superscript"/>
        <sz val="7"/>
        <color indexed="8"/>
        <rFont val="Arial"/>
        <family val="2"/>
        <charset val="1"/>
      </rPr>
      <t>th</t>
    </r>
    <r>
      <rPr>
        <sz val="7"/>
        <color indexed="8"/>
        <rFont val="Arial"/>
        <family val="2"/>
        <charset val="1"/>
      </rPr>
      <t xml:space="preserve"> level circulatory (30)Poison, 5</t>
    </r>
    <r>
      <rPr>
        <vertAlign val="superscript"/>
        <sz val="7"/>
        <color indexed="8"/>
        <rFont val="Arial"/>
        <family val="2"/>
        <charset val="1"/>
      </rPr>
      <t>th</t>
    </r>
    <r>
      <rPr>
        <sz val="7"/>
        <color indexed="8"/>
        <rFont val="Arial"/>
        <family val="2"/>
        <charset val="1"/>
      </rPr>
      <t xml:space="preserve"> level circulatory (30)Poison, 5</t>
    </r>
    <r>
      <rPr>
        <vertAlign val="superscript"/>
        <sz val="7"/>
        <color indexed="8"/>
        <rFont val="Arial"/>
        <family val="2"/>
        <charset val="1"/>
      </rPr>
      <t>th</t>
    </r>
    <r>
      <rPr>
        <sz val="7"/>
        <color indexed="8"/>
        <rFont val="Arial"/>
        <family val="2"/>
        <charset val="1"/>
      </rPr>
      <t xml:space="preserve"> level circulatory (30)Poison, 5</t>
    </r>
    <r>
      <rPr>
        <vertAlign val="superscript"/>
        <sz val="7"/>
        <color indexed="8"/>
        <rFont val="Arial"/>
        <family val="2"/>
        <charset val="1"/>
      </rPr>
      <t>th</t>
    </r>
    <r>
      <rPr>
        <sz val="7"/>
        <color indexed="8"/>
        <rFont val="Arial"/>
        <family val="2"/>
        <charset val="1"/>
      </rPr>
      <t xml:space="preserve"> level circulatory (30)Poison, 5</t>
    </r>
    <r>
      <rPr>
        <vertAlign val="superscript"/>
        <sz val="7"/>
        <color indexed="8"/>
        <rFont val="Arial"/>
        <family val="2"/>
        <charset val="1"/>
      </rPr>
      <t>th</t>
    </r>
    <r>
      <rPr>
        <sz val="7"/>
        <color indexed="8"/>
        <rFont val="Arial"/>
        <family val="2"/>
        <charset val="1"/>
      </rPr>
      <t xml:space="preserve"> level circulatory (30)Poison, 5</t>
    </r>
    <r>
      <rPr>
        <vertAlign val="superscript"/>
        <sz val="7"/>
        <color indexed="8"/>
        <rFont val="Arial"/>
        <family val="2"/>
        <charset val="1"/>
      </rPr>
      <t>th</t>
    </r>
    <r>
      <rPr>
        <sz val="7"/>
        <color indexed="8"/>
        <rFont val="Arial"/>
        <family val="2"/>
        <charset val="1"/>
      </rPr>
      <t xml:space="preserve"> level circulatory (30)Poison, 5</t>
    </r>
    <r>
      <rPr>
        <vertAlign val="superscript"/>
        <sz val="7"/>
        <color indexed="8"/>
        <rFont val="Arial"/>
        <family val="2"/>
        <charset val="1"/>
      </rPr>
      <t>th</t>
    </r>
    <r>
      <rPr>
        <sz val="7"/>
        <color indexed="8"/>
        <rFont val="Arial"/>
        <family val="2"/>
        <charset val="1"/>
      </rPr>
      <t xml:space="preserve"> level circulatory (30)Poison, 5</t>
    </r>
    <r>
      <rPr>
        <vertAlign val="superscript"/>
        <sz val="7"/>
        <color indexed="8"/>
        <rFont val="Arial"/>
        <family val="2"/>
        <charset val="1"/>
      </rPr>
      <t>th</t>
    </r>
    <r>
      <rPr>
        <sz val="7"/>
        <color indexed="8"/>
        <rFont val="Arial"/>
        <family val="2"/>
        <charset val="1"/>
      </rPr>
      <t xml:space="preserve"> level circulatory (30)Poison, 5</t>
    </r>
    <r>
      <rPr>
        <vertAlign val="superscript"/>
        <sz val="7"/>
        <color indexed="8"/>
        <rFont val="Arial"/>
        <family val="2"/>
        <charset val="1"/>
      </rPr>
      <t>th</t>
    </r>
    <r>
      <rPr>
        <sz val="7"/>
        <color indexed="8"/>
        <rFont val="Arial"/>
        <family val="2"/>
        <charset val="1"/>
      </rPr>
      <t xml:space="preserve"> level circulatory (30)Poison, 5</t>
    </r>
    <r>
      <rPr>
        <vertAlign val="superscript"/>
        <sz val="7"/>
        <color indexed="8"/>
        <rFont val="Arial"/>
        <family val="2"/>
        <charset val="1"/>
      </rPr>
      <t>th</t>
    </r>
    <r>
      <rPr>
        <sz val="7"/>
        <color indexed="8"/>
        <rFont val="Arial"/>
        <family val="2"/>
        <charset val="1"/>
      </rPr>
      <t xml:space="preserve"> level circulatory (30)Poison, 5</t>
    </r>
    <r>
      <rPr>
        <vertAlign val="superscript"/>
        <sz val="7"/>
        <color indexed="8"/>
        <rFont val="Arial"/>
        <family val="2"/>
        <charset val="1"/>
      </rPr>
      <t>th</t>
    </r>
    <r>
      <rPr>
        <sz val="7"/>
        <color indexed="8"/>
        <rFont val="Arial"/>
        <family val="2"/>
        <charset val="1"/>
      </rPr>
      <t xml:space="preserve"> level circulatory (30)Poison, 5</t>
    </r>
    <r>
      <rPr>
        <vertAlign val="superscript"/>
        <sz val="7"/>
        <color indexed="8"/>
        <rFont val="Arial"/>
        <family val="2"/>
        <charset val="1"/>
      </rPr>
      <t>th</t>
    </r>
    <r>
      <rPr>
        <sz val="7"/>
        <color indexed="8"/>
        <rFont val="Arial"/>
        <family val="2"/>
        <charset val="1"/>
      </rPr>
      <t xml:space="preserve"> level circulatory (30)Poison, 5</t>
    </r>
    <r>
      <rPr>
        <vertAlign val="superscript"/>
        <sz val="7"/>
        <color indexed="8"/>
        <rFont val="Arial"/>
        <family val="2"/>
        <charset val="1"/>
      </rPr>
      <t>th</t>
    </r>
    <r>
      <rPr>
        <sz val="7"/>
        <color indexed="8"/>
        <rFont val="Arial"/>
        <family val="2"/>
        <charset val="1"/>
      </rPr>
      <t xml:space="preserve"> level circulatory (30)</t>
    </r>
  </si>
  <si>
    <r>
      <t>Potion, 3</t>
    </r>
    <r>
      <rPr>
        <vertAlign val="superscript"/>
        <sz val="7"/>
        <color indexed="8"/>
        <rFont val="Arial"/>
        <family val="2"/>
        <charset val="1"/>
      </rPr>
      <t>rd</t>
    </r>
    <r>
      <rPr>
        <sz val="7"/>
        <color indexed="8"/>
        <rFont val="Arial"/>
        <family val="2"/>
        <charset val="1"/>
      </rPr>
      <t xml:space="preserve"> level spell (30)Potion, 3</t>
    </r>
    <r>
      <rPr>
        <vertAlign val="superscript"/>
        <sz val="7"/>
        <color indexed="8"/>
        <rFont val="Arial"/>
        <family val="2"/>
        <charset val="1"/>
      </rPr>
      <t>rd</t>
    </r>
    <r>
      <rPr>
        <sz val="7"/>
        <color indexed="8"/>
        <rFont val="Arial"/>
        <family val="2"/>
        <charset val="1"/>
      </rPr>
      <t xml:space="preserve"> level spell (30)Potion, 3</t>
    </r>
    <r>
      <rPr>
        <vertAlign val="superscript"/>
        <sz val="7"/>
        <color indexed="8"/>
        <rFont val="Arial"/>
        <family val="2"/>
        <charset val="1"/>
      </rPr>
      <t>rd</t>
    </r>
    <r>
      <rPr>
        <sz val="7"/>
        <color indexed="8"/>
        <rFont val="Arial"/>
        <family val="2"/>
        <charset val="1"/>
      </rPr>
      <t xml:space="preserve"> level spell (30)Potion, 3</t>
    </r>
    <r>
      <rPr>
        <vertAlign val="superscript"/>
        <sz val="7"/>
        <color indexed="8"/>
        <rFont val="Arial"/>
        <family val="2"/>
        <charset val="1"/>
      </rPr>
      <t>rd</t>
    </r>
    <r>
      <rPr>
        <sz val="7"/>
        <color indexed="8"/>
        <rFont val="Arial"/>
        <family val="2"/>
        <charset val="1"/>
      </rPr>
      <t xml:space="preserve"> level spell (30)Potion, 3</t>
    </r>
    <r>
      <rPr>
        <vertAlign val="superscript"/>
        <sz val="7"/>
        <color indexed="8"/>
        <rFont val="Arial"/>
        <family val="2"/>
        <charset val="1"/>
      </rPr>
      <t>rd</t>
    </r>
    <r>
      <rPr>
        <sz val="7"/>
        <color indexed="8"/>
        <rFont val="Arial"/>
        <family val="2"/>
        <charset val="1"/>
      </rPr>
      <t xml:space="preserve"> level spell (30)Potion, 3</t>
    </r>
    <r>
      <rPr>
        <vertAlign val="superscript"/>
        <sz val="7"/>
        <color indexed="8"/>
        <rFont val="Arial"/>
        <family val="2"/>
        <charset val="1"/>
      </rPr>
      <t>rd</t>
    </r>
    <r>
      <rPr>
        <sz val="7"/>
        <color indexed="8"/>
        <rFont val="Arial"/>
        <family val="2"/>
        <charset val="1"/>
      </rPr>
      <t xml:space="preserve"> level spell (30)Potion, 3</t>
    </r>
    <r>
      <rPr>
        <vertAlign val="superscript"/>
        <sz val="7"/>
        <color indexed="8"/>
        <rFont val="Arial"/>
        <family val="2"/>
        <charset val="1"/>
      </rPr>
      <t>rd</t>
    </r>
    <r>
      <rPr>
        <sz val="7"/>
        <color indexed="8"/>
        <rFont val="Arial"/>
        <family val="2"/>
        <charset val="1"/>
      </rPr>
      <t xml:space="preserve"> level spell (30)Potion, 3</t>
    </r>
    <r>
      <rPr>
        <vertAlign val="superscript"/>
        <sz val="7"/>
        <color indexed="8"/>
        <rFont val="Arial"/>
        <family val="2"/>
        <charset val="1"/>
      </rPr>
      <t>rd</t>
    </r>
    <r>
      <rPr>
        <sz val="7"/>
        <color indexed="8"/>
        <rFont val="Arial"/>
        <family val="2"/>
        <charset val="1"/>
      </rPr>
      <t xml:space="preserve"> level spell (30)Potion, 3</t>
    </r>
    <r>
      <rPr>
        <vertAlign val="superscript"/>
        <sz val="7"/>
        <color indexed="8"/>
        <rFont val="Arial"/>
        <family val="2"/>
        <charset val="1"/>
      </rPr>
      <t>rd</t>
    </r>
    <r>
      <rPr>
        <sz val="7"/>
        <color indexed="8"/>
        <rFont val="Arial"/>
        <family val="2"/>
        <charset val="1"/>
      </rPr>
      <t xml:space="preserve"> level spell (30)Potion, 3</t>
    </r>
    <r>
      <rPr>
        <vertAlign val="superscript"/>
        <sz val="7"/>
        <color indexed="8"/>
        <rFont val="Arial"/>
        <family val="2"/>
        <charset val="1"/>
      </rPr>
      <t>rd</t>
    </r>
    <r>
      <rPr>
        <sz val="7"/>
        <color indexed="8"/>
        <rFont val="Arial"/>
        <family val="2"/>
        <charset val="1"/>
      </rPr>
      <t xml:space="preserve"> level spell (30)Potion, 3</t>
    </r>
    <r>
      <rPr>
        <vertAlign val="superscript"/>
        <sz val="7"/>
        <color indexed="8"/>
        <rFont val="Arial"/>
        <family val="2"/>
        <charset val="1"/>
      </rPr>
      <t>rd</t>
    </r>
    <r>
      <rPr>
        <sz val="7"/>
        <color indexed="8"/>
        <rFont val="Arial"/>
        <family val="2"/>
        <charset val="1"/>
      </rPr>
      <t xml:space="preserve"> level spell (30)Potion, 3</t>
    </r>
    <r>
      <rPr>
        <vertAlign val="superscript"/>
        <sz val="7"/>
        <color indexed="8"/>
        <rFont val="Arial"/>
        <family val="2"/>
        <charset val="1"/>
      </rPr>
      <t>rd</t>
    </r>
    <r>
      <rPr>
        <sz val="7"/>
        <color indexed="8"/>
        <rFont val="Arial"/>
        <family val="2"/>
        <charset val="1"/>
      </rPr>
      <t xml:space="preserve"> level spell (30)Potion, 3</t>
    </r>
    <r>
      <rPr>
        <vertAlign val="superscript"/>
        <sz val="7"/>
        <color indexed="8"/>
        <rFont val="Arial"/>
        <family val="2"/>
        <charset val="1"/>
      </rPr>
      <t>rd</t>
    </r>
    <r>
      <rPr>
        <sz val="7"/>
        <color indexed="8"/>
        <rFont val="Arial"/>
        <family val="2"/>
        <charset val="1"/>
      </rPr>
      <t xml:space="preserve"> level spell (30)Potion, 3</t>
    </r>
    <r>
      <rPr>
        <vertAlign val="superscript"/>
        <sz val="7"/>
        <color indexed="8"/>
        <rFont val="Arial"/>
        <family val="2"/>
        <charset val="1"/>
      </rPr>
      <t>rd</t>
    </r>
    <r>
      <rPr>
        <sz val="7"/>
        <color indexed="8"/>
        <rFont val="Arial"/>
        <family val="2"/>
        <charset val="1"/>
      </rPr>
      <t xml:space="preserve"> level spell (30)Potion, 3</t>
    </r>
    <r>
      <rPr>
        <vertAlign val="superscript"/>
        <sz val="7"/>
        <color indexed="8"/>
        <rFont val="Arial"/>
        <family val="2"/>
        <charset val="1"/>
      </rPr>
      <t>rd</t>
    </r>
    <r>
      <rPr>
        <sz val="7"/>
        <color indexed="8"/>
        <rFont val="Arial"/>
        <family val="2"/>
        <charset val="1"/>
      </rPr>
      <t xml:space="preserve"> level spell (30)Potion, 3</t>
    </r>
    <r>
      <rPr>
        <vertAlign val="superscript"/>
        <sz val="7"/>
        <color indexed="8"/>
        <rFont val="Arial"/>
        <family val="2"/>
        <charset val="1"/>
      </rPr>
      <t>rd</t>
    </r>
    <r>
      <rPr>
        <sz val="7"/>
        <color indexed="8"/>
        <rFont val="Arial"/>
        <family val="2"/>
        <charset val="1"/>
      </rPr>
      <t xml:space="preserve"> level spell (30)Potion, 3</t>
    </r>
    <r>
      <rPr>
        <vertAlign val="superscript"/>
        <sz val="7"/>
        <color indexed="8"/>
        <rFont val="Arial"/>
        <family val="2"/>
        <charset val="1"/>
      </rPr>
      <t>rd</t>
    </r>
    <r>
      <rPr>
        <sz val="7"/>
        <color indexed="8"/>
        <rFont val="Arial"/>
        <family val="2"/>
        <charset val="1"/>
      </rPr>
      <t xml:space="preserve"> level spell (30)Potion, 3</t>
    </r>
    <r>
      <rPr>
        <vertAlign val="superscript"/>
        <sz val="7"/>
        <color indexed="8"/>
        <rFont val="Arial"/>
        <family val="2"/>
        <charset val="1"/>
      </rPr>
      <t>rd</t>
    </r>
    <r>
      <rPr>
        <sz val="7"/>
        <color indexed="8"/>
        <rFont val="Arial"/>
        <family val="2"/>
        <charset val="1"/>
      </rPr>
      <t xml:space="preserve"> level spell (30)Potion, 3</t>
    </r>
    <r>
      <rPr>
        <vertAlign val="superscript"/>
        <sz val="7"/>
        <color indexed="8"/>
        <rFont val="Arial"/>
        <family val="2"/>
        <charset val="1"/>
      </rPr>
      <t>rd</t>
    </r>
    <r>
      <rPr>
        <sz val="7"/>
        <color indexed="8"/>
        <rFont val="Arial"/>
        <family val="2"/>
        <charset val="1"/>
      </rPr>
      <t xml:space="preserve"> level spell (30)Potion, 3</t>
    </r>
    <r>
      <rPr>
        <vertAlign val="superscript"/>
        <sz val="7"/>
        <color indexed="8"/>
        <rFont val="Arial"/>
        <family val="2"/>
        <charset val="1"/>
      </rPr>
      <t>rd</t>
    </r>
    <r>
      <rPr>
        <sz val="7"/>
        <color indexed="8"/>
        <rFont val="Arial"/>
        <family val="2"/>
        <charset val="1"/>
      </rPr>
      <t xml:space="preserve"> level spell (30)Potion, 3</t>
    </r>
    <r>
      <rPr>
        <vertAlign val="superscript"/>
        <sz val="7"/>
        <color indexed="8"/>
        <rFont val="Arial"/>
        <family val="2"/>
        <charset val="1"/>
      </rPr>
      <t>rd</t>
    </r>
    <r>
      <rPr>
        <sz val="7"/>
        <color indexed="8"/>
        <rFont val="Arial"/>
        <family val="2"/>
        <charset val="1"/>
      </rPr>
      <t xml:space="preserve"> level spell (30)Potion, 3</t>
    </r>
    <r>
      <rPr>
        <vertAlign val="superscript"/>
        <sz val="7"/>
        <color indexed="8"/>
        <rFont val="Arial"/>
        <family val="2"/>
        <charset val="1"/>
      </rPr>
      <t>rd</t>
    </r>
    <r>
      <rPr>
        <sz val="7"/>
        <color indexed="8"/>
        <rFont val="Arial"/>
        <family val="2"/>
        <charset val="1"/>
      </rPr>
      <t xml:space="preserve"> level spell (30)Potion, 3</t>
    </r>
    <r>
      <rPr>
        <vertAlign val="superscript"/>
        <sz val="7"/>
        <color indexed="8"/>
        <rFont val="Arial"/>
        <family val="2"/>
        <charset val="1"/>
      </rPr>
      <t>rd</t>
    </r>
    <r>
      <rPr>
        <sz val="7"/>
        <color indexed="8"/>
        <rFont val="Arial"/>
        <family val="2"/>
        <charset val="1"/>
      </rPr>
      <t xml:space="preserve"> level spell (30)Potion, 3</t>
    </r>
    <r>
      <rPr>
        <vertAlign val="superscript"/>
        <sz val="7"/>
        <color indexed="8"/>
        <rFont val="Arial"/>
        <family val="2"/>
        <charset val="1"/>
      </rPr>
      <t>rd</t>
    </r>
    <r>
      <rPr>
        <sz val="7"/>
        <color indexed="8"/>
        <rFont val="Arial"/>
        <family val="2"/>
        <charset val="1"/>
      </rPr>
      <t xml:space="preserve"> level spell (30)Potion, 3</t>
    </r>
    <r>
      <rPr>
        <vertAlign val="superscript"/>
        <sz val="7"/>
        <color indexed="8"/>
        <rFont val="Arial"/>
        <family val="2"/>
        <charset val="1"/>
      </rPr>
      <t>rd</t>
    </r>
    <r>
      <rPr>
        <sz val="7"/>
        <color indexed="8"/>
        <rFont val="Arial"/>
        <family val="2"/>
        <charset val="1"/>
      </rPr>
      <t xml:space="preserve"> level spell (30)</t>
    </r>
  </si>
  <si>
    <t>Healing Potion, 1-10 hp (30)</t>
  </si>
  <si>
    <r>
      <t>Poison, 3</t>
    </r>
    <r>
      <rPr>
        <vertAlign val="superscript"/>
        <sz val="7"/>
        <color indexed="8"/>
        <rFont val="Arial"/>
        <family val="2"/>
        <charset val="1"/>
      </rPr>
      <t>rd</t>
    </r>
    <r>
      <rPr>
        <sz val="7"/>
        <color indexed="8"/>
        <rFont val="Arial"/>
        <family val="2"/>
        <charset val="1"/>
      </rPr>
      <t xml:space="preserve"> level circulatory (30)Poison, 3</t>
    </r>
    <r>
      <rPr>
        <vertAlign val="superscript"/>
        <sz val="7"/>
        <color indexed="8"/>
        <rFont val="Arial"/>
        <family val="2"/>
        <charset val="1"/>
      </rPr>
      <t>rd</t>
    </r>
    <r>
      <rPr>
        <sz val="7"/>
        <color indexed="8"/>
        <rFont val="Arial"/>
        <family val="2"/>
        <charset val="1"/>
      </rPr>
      <t xml:space="preserve"> level circulatory (30)Poison, 3</t>
    </r>
    <r>
      <rPr>
        <vertAlign val="superscript"/>
        <sz val="7"/>
        <color indexed="8"/>
        <rFont val="Arial"/>
        <family val="2"/>
        <charset val="1"/>
      </rPr>
      <t>rd</t>
    </r>
    <r>
      <rPr>
        <sz val="7"/>
        <color indexed="8"/>
        <rFont val="Arial"/>
        <family val="2"/>
        <charset val="1"/>
      </rPr>
      <t xml:space="preserve"> level circulatory (30)Poison, 3</t>
    </r>
    <r>
      <rPr>
        <vertAlign val="superscript"/>
        <sz val="7"/>
        <color indexed="8"/>
        <rFont val="Arial"/>
        <family val="2"/>
        <charset val="1"/>
      </rPr>
      <t>rd</t>
    </r>
    <r>
      <rPr>
        <sz val="7"/>
        <color indexed="8"/>
        <rFont val="Arial"/>
        <family val="2"/>
        <charset val="1"/>
      </rPr>
      <t xml:space="preserve"> level circulatory (30)Poison, 3</t>
    </r>
    <r>
      <rPr>
        <vertAlign val="superscript"/>
        <sz val="7"/>
        <color indexed="8"/>
        <rFont val="Arial"/>
        <family val="2"/>
        <charset val="1"/>
      </rPr>
      <t>rd</t>
    </r>
    <r>
      <rPr>
        <sz val="7"/>
        <color indexed="8"/>
        <rFont val="Arial"/>
        <family val="2"/>
        <charset val="1"/>
      </rPr>
      <t xml:space="preserve"> level circulatory (30)Poison, 3</t>
    </r>
    <r>
      <rPr>
        <vertAlign val="superscript"/>
        <sz val="7"/>
        <color indexed="8"/>
        <rFont val="Arial"/>
        <family val="2"/>
        <charset val="1"/>
      </rPr>
      <t>rd</t>
    </r>
    <r>
      <rPr>
        <sz val="7"/>
        <color indexed="8"/>
        <rFont val="Arial"/>
        <family val="2"/>
        <charset val="1"/>
      </rPr>
      <t xml:space="preserve"> level circulatory (30)Poison, 3</t>
    </r>
    <r>
      <rPr>
        <vertAlign val="superscript"/>
        <sz val="7"/>
        <color indexed="8"/>
        <rFont val="Arial"/>
        <family val="2"/>
        <charset val="1"/>
      </rPr>
      <t>rd</t>
    </r>
    <r>
      <rPr>
        <sz val="7"/>
        <color indexed="8"/>
        <rFont val="Arial"/>
        <family val="2"/>
        <charset val="1"/>
      </rPr>
      <t xml:space="preserve"> level circulatory (30)Poison, 3</t>
    </r>
    <r>
      <rPr>
        <vertAlign val="superscript"/>
        <sz val="7"/>
        <color indexed="8"/>
        <rFont val="Arial"/>
        <family val="2"/>
        <charset val="1"/>
      </rPr>
      <t>rd</t>
    </r>
    <r>
      <rPr>
        <sz val="7"/>
        <color indexed="8"/>
        <rFont val="Arial"/>
        <family val="2"/>
        <charset val="1"/>
      </rPr>
      <t xml:space="preserve"> level circulatory (30)Poison, 3</t>
    </r>
    <r>
      <rPr>
        <vertAlign val="superscript"/>
        <sz val="7"/>
        <color indexed="8"/>
        <rFont val="Arial"/>
        <family val="2"/>
        <charset val="1"/>
      </rPr>
      <t>rd</t>
    </r>
    <r>
      <rPr>
        <sz val="7"/>
        <color indexed="8"/>
        <rFont val="Arial"/>
        <family val="2"/>
        <charset val="1"/>
      </rPr>
      <t xml:space="preserve"> level circulatory (30)Poison, 3</t>
    </r>
    <r>
      <rPr>
        <vertAlign val="superscript"/>
        <sz val="7"/>
        <color indexed="8"/>
        <rFont val="Arial"/>
        <family val="2"/>
        <charset val="1"/>
      </rPr>
      <t>rd</t>
    </r>
    <r>
      <rPr>
        <sz val="7"/>
        <color indexed="8"/>
        <rFont val="Arial"/>
        <family val="2"/>
        <charset val="1"/>
      </rPr>
      <t xml:space="preserve"> level circulatory (30)Poison, 3</t>
    </r>
    <r>
      <rPr>
        <vertAlign val="superscript"/>
        <sz val="7"/>
        <color indexed="8"/>
        <rFont val="Arial"/>
        <family val="2"/>
        <charset val="1"/>
      </rPr>
      <t>rd</t>
    </r>
    <r>
      <rPr>
        <sz val="7"/>
        <color indexed="8"/>
        <rFont val="Arial"/>
        <family val="2"/>
        <charset val="1"/>
      </rPr>
      <t xml:space="preserve"> level circulatory (30)Poison, 3</t>
    </r>
    <r>
      <rPr>
        <vertAlign val="superscript"/>
        <sz val="7"/>
        <color indexed="8"/>
        <rFont val="Arial"/>
        <family val="2"/>
        <charset val="1"/>
      </rPr>
      <t>rd</t>
    </r>
    <r>
      <rPr>
        <sz val="7"/>
        <color indexed="8"/>
        <rFont val="Arial"/>
        <family val="2"/>
        <charset val="1"/>
      </rPr>
      <t xml:space="preserve"> level circulatory (30)Poison, 3</t>
    </r>
    <r>
      <rPr>
        <vertAlign val="superscript"/>
        <sz val="7"/>
        <color indexed="8"/>
        <rFont val="Arial"/>
        <family val="2"/>
        <charset val="1"/>
      </rPr>
      <t>rd</t>
    </r>
    <r>
      <rPr>
        <sz val="7"/>
        <color indexed="8"/>
        <rFont val="Arial"/>
        <family val="2"/>
        <charset val="1"/>
      </rPr>
      <t xml:space="preserve"> level circulatory (30)Poison, 3</t>
    </r>
    <r>
      <rPr>
        <vertAlign val="superscript"/>
        <sz val="7"/>
        <color indexed="8"/>
        <rFont val="Arial"/>
        <family val="2"/>
        <charset val="1"/>
      </rPr>
      <t>rd</t>
    </r>
    <r>
      <rPr>
        <sz val="7"/>
        <color indexed="8"/>
        <rFont val="Arial"/>
        <family val="2"/>
        <charset val="1"/>
      </rPr>
      <t xml:space="preserve"> level circulatory (30)Poison, 3</t>
    </r>
    <r>
      <rPr>
        <vertAlign val="superscript"/>
        <sz val="7"/>
        <color indexed="8"/>
        <rFont val="Arial"/>
        <family val="2"/>
        <charset val="1"/>
      </rPr>
      <t>rd</t>
    </r>
    <r>
      <rPr>
        <sz val="7"/>
        <color indexed="8"/>
        <rFont val="Arial"/>
        <family val="2"/>
        <charset val="1"/>
      </rPr>
      <t xml:space="preserve"> level circulatory (30)Poison, 3</t>
    </r>
    <r>
      <rPr>
        <vertAlign val="superscript"/>
        <sz val="7"/>
        <color indexed="8"/>
        <rFont val="Arial"/>
        <family val="2"/>
        <charset val="1"/>
      </rPr>
      <t>rd</t>
    </r>
    <r>
      <rPr>
        <sz val="7"/>
        <color indexed="8"/>
        <rFont val="Arial"/>
        <family val="2"/>
        <charset val="1"/>
      </rPr>
      <t xml:space="preserve"> level circulatory (30)Poison, 3</t>
    </r>
    <r>
      <rPr>
        <vertAlign val="superscript"/>
        <sz val="7"/>
        <color indexed="8"/>
        <rFont val="Arial"/>
        <family val="2"/>
        <charset val="1"/>
      </rPr>
      <t>rd</t>
    </r>
    <r>
      <rPr>
        <sz val="7"/>
        <color indexed="8"/>
        <rFont val="Arial"/>
        <family val="2"/>
        <charset val="1"/>
      </rPr>
      <t xml:space="preserve"> level circulatory (30)Poison, 3</t>
    </r>
    <r>
      <rPr>
        <vertAlign val="superscript"/>
        <sz val="7"/>
        <color indexed="8"/>
        <rFont val="Arial"/>
        <family val="2"/>
        <charset val="1"/>
      </rPr>
      <t>rd</t>
    </r>
    <r>
      <rPr>
        <sz val="7"/>
        <color indexed="8"/>
        <rFont val="Arial"/>
        <family val="2"/>
        <charset val="1"/>
      </rPr>
      <t xml:space="preserve"> level circulatory (30)Poison, 3</t>
    </r>
    <r>
      <rPr>
        <vertAlign val="superscript"/>
        <sz val="7"/>
        <color indexed="8"/>
        <rFont val="Arial"/>
        <family val="2"/>
        <charset val="1"/>
      </rPr>
      <t>rd</t>
    </r>
    <r>
      <rPr>
        <sz val="7"/>
        <color indexed="8"/>
        <rFont val="Arial"/>
        <family val="2"/>
        <charset val="1"/>
      </rPr>
      <t xml:space="preserve"> level circulatory (30)Poison, 3</t>
    </r>
    <r>
      <rPr>
        <vertAlign val="superscript"/>
        <sz val="7"/>
        <color indexed="8"/>
        <rFont val="Arial"/>
        <family val="2"/>
        <charset val="1"/>
      </rPr>
      <t>rd</t>
    </r>
    <r>
      <rPr>
        <sz val="7"/>
        <color indexed="8"/>
        <rFont val="Arial"/>
        <family val="2"/>
        <charset val="1"/>
      </rPr>
      <t xml:space="preserve"> level circulatory (30)Poison, 3</t>
    </r>
    <r>
      <rPr>
        <vertAlign val="superscript"/>
        <sz val="7"/>
        <color indexed="8"/>
        <rFont val="Arial"/>
        <family val="2"/>
        <charset val="1"/>
      </rPr>
      <t>rd</t>
    </r>
    <r>
      <rPr>
        <sz val="7"/>
        <color indexed="8"/>
        <rFont val="Arial"/>
        <family val="2"/>
        <charset val="1"/>
      </rPr>
      <t xml:space="preserve"> level circulatory (30)Poison, 3</t>
    </r>
    <r>
      <rPr>
        <vertAlign val="superscript"/>
        <sz val="7"/>
        <color indexed="8"/>
        <rFont val="Arial"/>
        <family val="2"/>
        <charset val="1"/>
      </rPr>
      <t>rd</t>
    </r>
    <r>
      <rPr>
        <sz val="7"/>
        <color indexed="8"/>
        <rFont val="Arial"/>
        <family val="2"/>
        <charset val="1"/>
      </rPr>
      <t xml:space="preserve"> level circulatory (30)Poison, 3</t>
    </r>
    <r>
      <rPr>
        <vertAlign val="superscript"/>
        <sz val="7"/>
        <color indexed="8"/>
        <rFont val="Arial"/>
        <family val="2"/>
        <charset val="1"/>
      </rPr>
      <t>rd</t>
    </r>
    <r>
      <rPr>
        <sz val="7"/>
        <color indexed="8"/>
        <rFont val="Arial"/>
        <family val="2"/>
        <charset val="1"/>
      </rPr>
      <t xml:space="preserve"> level circulatory (30)Poison, 3</t>
    </r>
    <r>
      <rPr>
        <vertAlign val="superscript"/>
        <sz val="7"/>
        <color indexed="8"/>
        <rFont val="Arial"/>
        <family val="2"/>
        <charset val="1"/>
      </rPr>
      <t>rd</t>
    </r>
    <r>
      <rPr>
        <sz val="7"/>
        <color indexed="8"/>
        <rFont val="Arial"/>
        <family val="2"/>
        <charset val="1"/>
      </rPr>
      <t xml:space="preserve"> level circulatory (30)Poison, 3</t>
    </r>
    <r>
      <rPr>
        <vertAlign val="superscript"/>
        <sz val="7"/>
        <color indexed="8"/>
        <rFont val="Arial"/>
        <family val="2"/>
        <charset val="1"/>
      </rPr>
      <t>rd</t>
    </r>
    <r>
      <rPr>
        <sz val="7"/>
        <color indexed="8"/>
        <rFont val="Arial"/>
        <family val="2"/>
        <charset val="1"/>
      </rPr>
      <t xml:space="preserve"> level circulatory (30)</t>
    </r>
  </si>
  <si>
    <t>Metal Vials x 3 (40)</t>
  </si>
  <si>
    <t>Lore Book, +10 to a non-magic lore (0)</t>
  </si>
  <si>
    <t>Alchemy 2</t>
  </si>
  <si>
    <t>Spells – TP Own Realm skill CAT 0</t>
  </si>
  <si>
    <t>choice of one list 3</t>
  </si>
  <si>
    <t>A total of 6 ranks in Alchemy and Biochemistry (-3 points)</t>
  </si>
  <si>
    <t>Spell Researcher (V), EC</t>
  </si>
  <si>
    <t>Magic Tome, 4d10 total spell levels (40)</t>
  </si>
  <si>
    <t>Source Book on Magic, +10 Research; one topic (40)</t>
  </si>
  <si>
    <t>Source Book on Magic, +10 Research; one topic (30)</t>
  </si>
  <si>
    <t>Source Book on Magic, +5 Research; one topic (50)</t>
  </si>
  <si>
    <t>Spell Adder +2 (40)</t>
  </si>
  <si>
    <r>
      <t>Daily II item (3</t>
    </r>
    <r>
      <rPr>
        <vertAlign val="superscript"/>
        <sz val="7"/>
        <color indexed="8"/>
        <rFont val="Arial"/>
        <family val="2"/>
        <charset val="1"/>
      </rPr>
      <t>rd</t>
    </r>
    <r>
      <rPr>
        <sz val="7"/>
        <color indexed="8"/>
        <rFont val="Arial"/>
        <family val="2"/>
        <charset val="1"/>
      </rPr>
      <t xml:space="preserve"> level spell) (30)Daily II item (3</t>
    </r>
    <r>
      <rPr>
        <vertAlign val="superscript"/>
        <sz val="7"/>
        <color indexed="8"/>
        <rFont val="Arial"/>
        <family val="2"/>
        <charset val="1"/>
      </rPr>
      <t>rd</t>
    </r>
    <r>
      <rPr>
        <sz val="7"/>
        <color indexed="8"/>
        <rFont val="Arial"/>
        <family val="2"/>
        <charset val="1"/>
      </rPr>
      <t xml:space="preserve"> level spell) (30)Daily II item (3</t>
    </r>
    <r>
      <rPr>
        <vertAlign val="superscript"/>
        <sz val="7"/>
        <color indexed="8"/>
        <rFont val="Arial"/>
        <family val="2"/>
        <charset val="1"/>
      </rPr>
      <t>rd</t>
    </r>
    <r>
      <rPr>
        <sz val="7"/>
        <color indexed="8"/>
        <rFont val="Arial"/>
        <family val="2"/>
        <charset val="1"/>
      </rPr>
      <t xml:space="preserve"> level spell) (30)Daily II item (3</t>
    </r>
    <r>
      <rPr>
        <vertAlign val="superscript"/>
        <sz val="7"/>
        <color indexed="8"/>
        <rFont val="Arial"/>
        <family val="2"/>
        <charset val="1"/>
      </rPr>
      <t>rd</t>
    </r>
    <r>
      <rPr>
        <sz val="7"/>
        <color indexed="8"/>
        <rFont val="Arial"/>
        <family val="2"/>
        <charset val="1"/>
      </rPr>
      <t xml:space="preserve"> level spell) (30)Daily II item (3</t>
    </r>
    <r>
      <rPr>
        <vertAlign val="superscript"/>
        <sz val="7"/>
        <color indexed="8"/>
        <rFont val="Arial"/>
        <family val="2"/>
        <charset val="1"/>
      </rPr>
      <t>rd</t>
    </r>
    <r>
      <rPr>
        <sz val="7"/>
        <color indexed="8"/>
        <rFont val="Arial"/>
        <family val="2"/>
        <charset val="1"/>
      </rPr>
      <t xml:space="preserve"> level spell) (30)Daily II item (3</t>
    </r>
    <r>
      <rPr>
        <vertAlign val="superscript"/>
        <sz val="7"/>
        <color indexed="8"/>
        <rFont val="Arial"/>
        <family val="2"/>
        <charset val="1"/>
      </rPr>
      <t>rd</t>
    </r>
    <r>
      <rPr>
        <sz val="7"/>
        <color indexed="8"/>
        <rFont val="Arial"/>
        <family val="2"/>
        <charset val="1"/>
      </rPr>
      <t xml:space="preserve"> level spell) (30)Daily II item (3</t>
    </r>
    <r>
      <rPr>
        <vertAlign val="superscript"/>
        <sz val="7"/>
        <color indexed="8"/>
        <rFont val="Arial"/>
        <family val="2"/>
        <charset val="1"/>
      </rPr>
      <t>rd</t>
    </r>
    <r>
      <rPr>
        <sz val="7"/>
        <color indexed="8"/>
        <rFont val="Arial"/>
        <family val="2"/>
        <charset val="1"/>
      </rPr>
      <t xml:space="preserve"> level spell) (30)Daily II item (3</t>
    </r>
    <r>
      <rPr>
        <vertAlign val="superscript"/>
        <sz val="7"/>
        <color indexed="8"/>
        <rFont val="Arial"/>
        <family val="2"/>
        <charset val="1"/>
      </rPr>
      <t>rd</t>
    </r>
    <r>
      <rPr>
        <sz val="7"/>
        <color indexed="8"/>
        <rFont val="Arial"/>
        <family val="2"/>
        <charset val="1"/>
      </rPr>
      <t xml:space="preserve"> level spell) (30)Daily II item (3</t>
    </r>
    <r>
      <rPr>
        <vertAlign val="superscript"/>
        <sz val="7"/>
        <color indexed="8"/>
        <rFont val="Arial"/>
        <family val="2"/>
        <charset val="1"/>
      </rPr>
      <t>rd</t>
    </r>
    <r>
      <rPr>
        <sz val="7"/>
        <color indexed="8"/>
        <rFont val="Arial"/>
        <family val="2"/>
        <charset val="1"/>
      </rPr>
      <t xml:space="preserve"> level spell) (30)Daily II item (3</t>
    </r>
    <r>
      <rPr>
        <vertAlign val="superscript"/>
        <sz val="7"/>
        <color indexed="8"/>
        <rFont val="Arial"/>
        <family val="2"/>
        <charset val="1"/>
      </rPr>
      <t>rd</t>
    </r>
    <r>
      <rPr>
        <sz val="7"/>
        <color indexed="8"/>
        <rFont val="Arial"/>
        <family val="2"/>
        <charset val="1"/>
      </rPr>
      <t xml:space="preserve"> level spell) (30)Daily II item (3</t>
    </r>
    <r>
      <rPr>
        <vertAlign val="superscript"/>
        <sz val="7"/>
        <color indexed="8"/>
        <rFont val="Arial"/>
        <family val="2"/>
        <charset val="1"/>
      </rPr>
      <t>rd</t>
    </r>
    <r>
      <rPr>
        <sz val="7"/>
        <color indexed="8"/>
        <rFont val="Arial"/>
        <family val="2"/>
        <charset val="1"/>
      </rPr>
      <t xml:space="preserve"> level spell) (30)Daily II item (3</t>
    </r>
    <r>
      <rPr>
        <vertAlign val="superscript"/>
        <sz val="7"/>
        <color indexed="8"/>
        <rFont val="Arial"/>
        <family val="2"/>
        <charset val="1"/>
      </rPr>
      <t>rd</t>
    </r>
    <r>
      <rPr>
        <sz val="7"/>
        <color indexed="8"/>
        <rFont val="Arial"/>
        <family val="2"/>
        <charset val="1"/>
      </rPr>
      <t xml:space="preserve"> level spell) (30)Daily II item (3</t>
    </r>
    <r>
      <rPr>
        <vertAlign val="superscript"/>
        <sz val="7"/>
        <color indexed="8"/>
        <rFont val="Arial"/>
        <family val="2"/>
        <charset val="1"/>
      </rPr>
      <t>rd</t>
    </r>
    <r>
      <rPr>
        <sz val="7"/>
        <color indexed="8"/>
        <rFont val="Arial"/>
        <family val="2"/>
        <charset val="1"/>
      </rPr>
      <t xml:space="preserve"> level spell) (30)Daily II item (3</t>
    </r>
    <r>
      <rPr>
        <vertAlign val="superscript"/>
        <sz val="7"/>
        <color indexed="8"/>
        <rFont val="Arial"/>
        <family val="2"/>
        <charset val="1"/>
      </rPr>
      <t>rd</t>
    </r>
    <r>
      <rPr>
        <sz val="7"/>
        <color indexed="8"/>
        <rFont val="Arial"/>
        <family val="2"/>
        <charset val="1"/>
      </rPr>
      <t xml:space="preserve"> level spell) (30)Daily II item (3</t>
    </r>
    <r>
      <rPr>
        <vertAlign val="superscript"/>
        <sz val="7"/>
        <color indexed="8"/>
        <rFont val="Arial"/>
        <family val="2"/>
        <charset val="1"/>
      </rPr>
      <t>rd</t>
    </r>
    <r>
      <rPr>
        <sz val="7"/>
        <color indexed="8"/>
        <rFont val="Arial"/>
        <family val="2"/>
        <charset val="1"/>
      </rPr>
      <t xml:space="preserve"> level spell) (30)Daily II item (3</t>
    </r>
    <r>
      <rPr>
        <vertAlign val="superscript"/>
        <sz val="7"/>
        <color indexed="8"/>
        <rFont val="Arial"/>
        <family val="2"/>
        <charset val="1"/>
      </rPr>
      <t>rd</t>
    </r>
    <r>
      <rPr>
        <sz val="7"/>
        <color indexed="8"/>
        <rFont val="Arial"/>
        <family val="2"/>
        <charset val="1"/>
      </rPr>
      <t xml:space="preserve"> level spell) (30)Daily II item (3</t>
    </r>
    <r>
      <rPr>
        <vertAlign val="superscript"/>
        <sz val="7"/>
        <color indexed="8"/>
        <rFont val="Arial"/>
        <family val="2"/>
        <charset val="1"/>
      </rPr>
      <t>rd</t>
    </r>
    <r>
      <rPr>
        <sz val="7"/>
        <color indexed="8"/>
        <rFont val="Arial"/>
        <family val="2"/>
        <charset val="1"/>
      </rPr>
      <t xml:space="preserve"> level spell) (30)Daily II item (3</t>
    </r>
    <r>
      <rPr>
        <vertAlign val="superscript"/>
        <sz val="7"/>
        <color indexed="8"/>
        <rFont val="Arial"/>
        <family val="2"/>
        <charset val="1"/>
      </rPr>
      <t>rd</t>
    </r>
    <r>
      <rPr>
        <sz val="7"/>
        <color indexed="8"/>
        <rFont val="Arial"/>
        <family val="2"/>
        <charset val="1"/>
      </rPr>
      <t xml:space="preserve"> level spell) (30)Daily II item (3</t>
    </r>
    <r>
      <rPr>
        <vertAlign val="superscript"/>
        <sz val="7"/>
        <color indexed="8"/>
        <rFont val="Arial"/>
        <family val="2"/>
        <charset val="1"/>
      </rPr>
      <t>rd</t>
    </r>
    <r>
      <rPr>
        <sz val="7"/>
        <color indexed="8"/>
        <rFont val="Arial"/>
        <family val="2"/>
        <charset val="1"/>
      </rPr>
      <t xml:space="preserve"> level spell) (30)Daily II item (3</t>
    </r>
    <r>
      <rPr>
        <vertAlign val="superscript"/>
        <sz val="7"/>
        <color indexed="8"/>
        <rFont val="Arial"/>
        <family val="2"/>
        <charset val="1"/>
      </rPr>
      <t>rd</t>
    </r>
    <r>
      <rPr>
        <sz val="7"/>
        <color indexed="8"/>
        <rFont val="Arial"/>
        <family val="2"/>
        <charset val="1"/>
      </rPr>
      <t xml:space="preserve"> level spell) (30)Daily II item (3</t>
    </r>
    <r>
      <rPr>
        <vertAlign val="superscript"/>
        <sz val="7"/>
        <color indexed="8"/>
        <rFont val="Arial"/>
        <family val="2"/>
        <charset val="1"/>
      </rPr>
      <t>rd</t>
    </r>
    <r>
      <rPr>
        <sz val="7"/>
        <color indexed="8"/>
        <rFont val="Arial"/>
        <family val="2"/>
        <charset val="1"/>
      </rPr>
      <t xml:space="preserve"> level spell) (30)Daily II item (3</t>
    </r>
    <r>
      <rPr>
        <vertAlign val="superscript"/>
        <sz val="7"/>
        <color indexed="8"/>
        <rFont val="Arial"/>
        <family val="2"/>
        <charset val="1"/>
      </rPr>
      <t>rd</t>
    </r>
    <r>
      <rPr>
        <sz val="7"/>
        <color indexed="8"/>
        <rFont val="Arial"/>
        <family val="2"/>
        <charset val="1"/>
      </rPr>
      <t xml:space="preserve"> level spell) (30)Daily II item (3</t>
    </r>
    <r>
      <rPr>
        <vertAlign val="superscript"/>
        <sz val="7"/>
        <color indexed="8"/>
        <rFont val="Arial"/>
        <family val="2"/>
        <charset val="1"/>
      </rPr>
      <t>rd</t>
    </r>
    <r>
      <rPr>
        <sz val="7"/>
        <color indexed="8"/>
        <rFont val="Arial"/>
        <family val="2"/>
        <charset val="1"/>
      </rPr>
      <t xml:space="preserve"> level spell) (30)Daily II item (3</t>
    </r>
    <r>
      <rPr>
        <vertAlign val="superscript"/>
        <sz val="7"/>
        <color indexed="8"/>
        <rFont val="Arial"/>
        <family val="2"/>
        <charset val="1"/>
      </rPr>
      <t>rd</t>
    </r>
    <r>
      <rPr>
        <sz val="7"/>
        <color indexed="8"/>
        <rFont val="Arial"/>
        <family val="2"/>
        <charset val="1"/>
      </rPr>
      <t xml:space="preserve"> level spell) (30)Daily II item (3</t>
    </r>
    <r>
      <rPr>
        <vertAlign val="superscript"/>
        <sz val="7"/>
        <color indexed="8"/>
        <rFont val="Arial"/>
        <family val="2"/>
        <charset val="1"/>
      </rPr>
      <t>rd</t>
    </r>
    <r>
      <rPr>
        <sz val="7"/>
        <color indexed="8"/>
        <rFont val="Arial"/>
        <family val="2"/>
        <charset val="1"/>
      </rPr>
      <t xml:space="preserve"> level spell) (30)</t>
    </r>
  </si>
  <si>
    <t>Spectacles (40)</t>
  </si>
  <si>
    <t>Time Sense 1</t>
  </si>
  <si>
    <t>Teaching 1</t>
  </si>
  <si>
    <t>Read Runes 4</t>
  </si>
  <si>
    <t>Science/Analytic – Basic CAT 4</t>
  </si>
  <si>
    <t>Research 4</t>
  </si>
  <si>
    <t>A total of 20 ranks in skills in the Lore group (-5 points)</t>
  </si>
  <si>
    <t>Spell Student (V), EC</t>
  </si>
  <si>
    <t>Favor from a professor (50)</t>
  </si>
  <si>
    <t>Lore Book, +15 to a non-magic lore (40)</t>
  </si>
  <si>
    <t>Rival student (30)</t>
  </si>
  <si>
    <t>Lore Book, +10 to a non-magic lore (30)</t>
  </si>
  <si>
    <r>
      <t>Daily III Item (2</t>
    </r>
    <r>
      <rPr>
        <vertAlign val="superscript"/>
        <sz val="7"/>
        <color indexed="8"/>
        <rFont val="Arial"/>
        <family val="2"/>
        <charset val="1"/>
      </rPr>
      <t>nd</t>
    </r>
    <r>
      <rPr>
        <sz val="7"/>
        <color indexed="8"/>
        <rFont val="Arial"/>
        <family val="2"/>
        <charset val="1"/>
      </rPr>
      <t xml:space="preserve"> level spell) (30)Daily III Item (2</t>
    </r>
    <r>
      <rPr>
        <vertAlign val="superscript"/>
        <sz val="7"/>
        <color indexed="8"/>
        <rFont val="Arial"/>
        <family val="2"/>
        <charset val="1"/>
      </rPr>
      <t>nd</t>
    </r>
    <r>
      <rPr>
        <sz val="7"/>
        <color indexed="8"/>
        <rFont val="Arial"/>
        <family val="2"/>
        <charset val="1"/>
      </rPr>
      <t xml:space="preserve"> level spell) (30)Daily III Item (2</t>
    </r>
    <r>
      <rPr>
        <vertAlign val="superscript"/>
        <sz val="7"/>
        <color indexed="8"/>
        <rFont val="Arial"/>
        <family val="2"/>
        <charset val="1"/>
      </rPr>
      <t>nd</t>
    </r>
    <r>
      <rPr>
        <sz val="7"/>
        <color indexed="8"/>
        <rFont val="Arial"/>
        <family val="2"/>
        <charset val="1"/>
      </rPr>
      <t xml:space="preserve"> level spell) (30)Daily III Item (2</t>
    </r>
    <r>
      <rPr>
        <vertAlign val="superscript"/>
        <sz val="7"/>
        <color indexed="8"/>
        <rFont val="Arial"/>
        <family val="2"/>
        <charset val="1"/>
      </rPr>
      <t>nd</t>
    </r>
    <r>
      <rPr>
        <sz val="7"/>
        <color indexed="8"/>
        <rFont val="Arial"/>
        <family val="2"/>
        <charset val="1"/>
      </rPr>
      <t xml:space="preserve"> level spell) (30)Daily III Item (2</t>
    </r>
    <r>
      <rPr>
        <vertAlign val="superscript"/>
        <sz val="7"/>
        <color indexed="8"/>
        <rFont val="Arial"/>
        <family val="2"/>
        <charset val="1"/>
      </rPr>
      <t>nd</t>
    </r>
    <r>
      <rPr>
        <sz val="7"/>
        <color indexed="8"/>
        <rFont val="Arial"/>
        <family val="2"/>
        <charset val="1"/>
      </rPr>
      <t xml:space="preserve"> level spell) (30)Daily III Item (2</t>
    </r>
    <r>
      <rPr>
        <vertAlign val="superscript"/>
        <sz val="7"/>
        <color indexed="8"/>
        <rFont val="Arial"/>
        <family val="2"/>
        <charset val="1"/>
      </rPr>
      <t>nd</t>
    </r>
    <r>
      <rPr>
        <sz val="7"/>
        <color indexed="8"/>
        <rFont val="Arial"/>
        <family val="2"/>
        <charset val="1"/>
      </rPr>
      <t xml:space="preserve"> level spell) (30)Daily III Item (2</t>
    </r>
    <r>
      <rPr>
        <vertAlign val="superscript"/>
        <sz val="7"/>
        <color indexed="8"/>
        <rFont val="Arial"/>
        <family val="2"/>
        <charset val="1"/>
      </rPr>
      <t>nd</t>
    </r>
    <r>
      <rPr>
        <sz val="7"/>
        <color indexed="8"/>
        <rFont val="Arial"/>
        <family val="2"/>
        <charset val="1"/>
      </rPr>
      <t xml:space="preserve"> level spell) (30)Daily III Item (2</t>
    </r>
    <r>
      <rPr>
        <vertAlign val="superscript"/>
        <sz val="7"/>
        <color indexed="8"/>
        <rFont val="Arial"/>
        <family val="2"/>
        <charset val="1"/>
      </rPr>
      <t>nd</t>
    </r>
    <r>
      <rPr>
        <sz val="7"/>
        <color indexed="8"/>
        <rFont val="Arial"/>
        <family val="2"/>
        <charset val="1"/>
      </rPr>
      <t xml:space="preserve"> level spell) (30)Daily III Item (2</t>
    </r>
    <r>
      <rPr>
        <vertAlign val="superscript"/>
        <sz val="7"/>
        <color indexed="8"/>
        <rFont val="Arial"/>
        <family val="2"/>
        <charset val="1"/>
      </rPr>
      <t>nd</t>
    </r>
    <r>
      <rPr>
        <sz val="7"/>
        <color indexed="8"/>
        <rFont val="Arial"/>
        <family val="2"/>
        <charset val="1"/>
      </rPr>
      <t xml:space="preserve"> level spell) (30)Daily III Item (2</t>
    </r>
    <r>
      <rPr>
        <vertAlign val="superscript"/>
        <sz val="7"/>
        <color indexed="8"/>
        <rFont val="Arial"/>
        <family val="2"/>
        <charset val="1"/>
      </rPr>
      <t>nd</t>
    </r>
    <r>
      <rPr>
        <sz val="7"/>
        <color indexed="8"/>
        <rFont val="Arial"/>
        <family val="2"/>
        <charset val="1"/>
      </rPr>
      <t xml:space="preserve"> level spell) (30)Daily III Item (2</t>
    </r>
    <r>
      <rPr>
        <vertAlign val="superscript"/>
        <sz val="7"/>
        <color indexed="8"/>
        <rFont val="Arial"/>
        <family val="2"/>
        <charset val="1"/>
      </rPr>
      <t>nd</t>
    </r>
    <r>
      <rPr>
        <sz val="7"/>
        <color indexed="8"/>
        <rFont val="Arial"/>
        <family val="2"/>
        <charset val="1"/>
      </rPr>
      <t xml:space="preserve"> level spell) (30)Daily III Item (2</t>
    </r>
    <r>
      <rPr>
        <vertAlign val="superscript"/>
        <sz val="7"/>
        <color indexed="8"/>
        <rFont val="Arial"/>
        <family val="2"/>
        <charset val="1"/>
      </rPr>
      <t>nd</t>
    </r>
    <r>
      <rPr>
        <sz val="7"/>
        <color indexed="8"/>
        <rFont val="Arial"/>
        <family val="2"/>
        <charset val="1"/>
      </rPr>
      <t xml:space="preserve"> level spell) (30)Daily III Item (2</t>
    </r>
    <r>
      <rPr>
        <vertAlign val="superscript"/>
        <sz val="7"/>
        <color indexed="8"/>
        <rFont val="Arial"/>
        <family val="2"/>
        <charset val="1"/>
      </rPr>
      <t>nd</t>
    </r>
    <r>
      <rPr>
        <sz val="7"/>
        <color indexed="8"/>
        <rFont val="Arial"/>
        <family val="2"/>
        <charset val="1"/>
      </rPr>
      <t xml:space="preserve"> level spell) (30)Daily III Item (2</t>
    </r>
    <r>
      <rPr>
        <vertAlign val="superscript"/>
        <sz val="7"/>
        <color indexed="8"/>
        <rFont val="Arial"/>
        <family val="2"/>
        <charset val="1"/>
      </rPr>
      <t>nd</t>
    </r>
    <r>
      <rPr>
        <sz val="7"/>
        <color indexed="8"/>
        <rFont val="Arial"/>
        <family val="2"/>
        <charset val="1"/>
      </rPr>
      <t xml:space="preserve"> level spell) (30)Daily III Item (2</t>
    </r>
    <r>
      <rPr>
        <vertAlign val="superscript"/>
        <sz val="7"/>
        <color indexed="8"/>
        <rFont val="Arial"/>
        <family val="2"/>
        <charset val="1"/>
      </rPr>
      <t>nd</t>
    </r>
    <r>
      <rPr>
        <sz val="7"/>
        <color indexed="8"/>
        <rFont val="Arial"/>
        <family val="2"/>
        <charset val="1"/>
      </rPr>
      <t xml:space="preserve"> level spell) (30)Daily III Item (2</t>
    </r>
    <r>
      <rPr>
        <vertAlign val="superscript"/>
        <sz val="7"/>
        <color indexed="8"/>
        <rFont val="Arial"/>
        <family val="2"/>
        <charset val="1"/>
      </rPr>
      <t>nd</t>
    </r>
    <r>
      <rPr>
        <sz val="7"/>
        <color indexed="8"/>
        <rFont val="Arial"/>
        <family val="2"/>
        <charset val="1"/>
      </rPr>
      <t xml:space="preserve"> level spell) (30)Daily III Item (2</t>
    </r>
    <r>
      <rPr>
        <vertAlign val="superscript"/>
        <sz val="7"/>
        <color indexed="8"/>
        <rFont val="Arial"/>
        <family val="2"/>
        <charset val="1"/>
      </rPr>
      <t>nd</t>
    </r>
    <r>
      <rPr>
        <sz val="7"/>
        <color indexed="8"/>
        <rFont val="Arial"/>
        <family val="2"/>
        <charset val="1"/>
      </rPr>
      <t xml:space="preserve"> level spell) (30)Daily III Item (2</t>
    </r>
    <r>
      <rPr>
        <vertAlign val="superscript"/>
        <sz val="7"/>
        <color indexed="8"/>
        <rFont val="Arial"/>
        <family val="2"/>
        <charset val="1"/>
      </rPr>
      <t>nd</t>
    </r>
    <r>
      <rPr>
        <sz val="7"/>
        <color indexed="8"/>
        <rFont val="Arial"/>
        <family val="2"/>
        <charset val="1"/>
      </rPr>
      <t xml:space="preserve"> level spell) (30)Daily III Item (2</t>
    </r>
    <r>
      <rPr>
        <vertAlign val="superscript"/>
        <sz val="7"/>
        <color indexed="8"/>
        <rFont val="Arial"/>
        <family val="2"/>
        <charset val="1"/>
      </rPr>
      <t>nd</t>
    </r>
    <r>
      <rPr>
        <sz val="7"/>
        <color indexed="8"/>
        <rFont val="Arial"/>
        <family val="2"/>
        <charset val="1"/>
      </rPr>
      <t xml:space="preserve"> level spell) (30)Daily III Item (2</t>
    </r>
    <r>
      <rPr>
        <vertAlign val="superscript"/>
        <sz val="7"/>
        <color indexed="8"/>
        <rFont val="Arial"/>
        <family val="2"/>
        <charset val="1"/>
      </rPr>
      <t>nd</t>
    </r>
    <r>
      <rPr>
        <sz val="7"/>
        <color indexed="8"/>
        <rFont val="Arial"/>
        <family val="2"/>
        <charset val="1"/>
      </rPr>
      <t xml:space="preserve"> level spell) (30)Daily III Item (2</t>
    </r>
    <r>
      <rPr>
        <vertAlign val="superscript"/>
        <sz val="7"/>
        <color indexed="8"/>
        <rFont val="Arial"/>
        <family val="2"/>
        <charset val="1"/>
      </rPr>
      <t>nd</t>
    </r>
    <r>
      <rPr>
        <sz val="7"/>
        <color indexed="8"/>
        <rFont val="Arial"/>
        <family val="2"/>
        <charset val="1"/>
      </rPr>
      <t xml:space="preserve"> level spell) (30)Daily III Item (2</t>
    </r>
    <r>
      <rPr>
        <vertAlign val="superscript"/>
        <sz val="7"/>
        <color indexed="8"/>
        <rFont val="Arial"/>
        <family val="2"/>
        <charset val="1"/>
      </rPr>
      <t>nd</t>
    </r>
    <r>
      <rPr>
        <sz val="7"/>
        <color indexed="8"/>
        <rFont val="Arial"/>
        <family val="2"/>
        <charset val="1"/>
      </rPr>
      <t xml:space="preserve"> level spell) (30)Daily III Item (2</t>
    </r>
    <r>
      <rPr>
        <vertAlign val="superscript"/>
        <sz val="7"/>
        <color indexed="8"/>
        <rFont val="Arial"/>
        <family val="2"/>
        <charset val="1"/>
      </rPr>
      <t>nd</t>
    </r>
    <r>
      <rPr>
        <sz val="7"/>
        <color indexed="8"/>
        <rFont val="Arial"/>
        <family val="2"/>
        <charset val="1"/>
      </rPr>
      <t xml:space="preserve"> level spell) (30)Daily III Item (2</t>
    </r>
    <r>
      <rPr>
        <vertAlign val="superscript"/>
        <sz val="7"/>
        <color indexed="8"/>
        <rFont val="Arial"/>
        <family val="2"/>
        <charset val="1"/>
      </rPr>
      <t>nd</t>
    </r>
    <r>
      <rPr>
        <sz val="7"/>
        <color indexed="8"/>
        <rFont val="Arial"/>
        <family val="2"/>
        <charset val="1"/>
      </rPr>
      <t xml:space="preserve"> level spell) (30)Daily III Item (2</t>
    </r>
    <r>
      <rPr>
        <vertAlign val="superscript"/>
        <sz val="7"/>
        <color indexed="8"/>
        <rFont val="Arial"/>
        <family val="2"/>
        <charset val="1"/>
      </rPr>
      <t>nd</t>
    </r>
    <r>
      <rPr>
        <sz val="7"/>
        <color indexed="8"/>
        <rFont val="Arial"/>
        <family val="2"/>
        <charset val="1"/>
      </rPr>
      <t xml:space="preserve"> level spell) (30)</t>
    </r>
  </si>
  <si>
    <t>Reputation in local marketplace (good or bad) (30)</t>
  </si>
  <si>
    <r>
      <t>Daily II Item (1</t>
    </r>
    <r>
      <rPr>
        <vertAlign val="superscript"/>
        <sz val="7"/>
        <color indexed="8"/>
        <rFont val="Arial"/>
        <family val="2"/>
        <charset val="1"/>
      </rPr>
      <t>st</t>
    </r>
    <r>
      <rPr>
        <sz val="7"/>
        <color indexed="8"/>
        <rFont val="Arial"/>
        <family val="2"/>
        <charset val="1"/>
      </rPr>
      <t xml:space="preserve"> level spell) (30)Daily II Item (1</t>
    </r>
    <r>
      <rPr>
        <vertAlign val="superscript"/>
        <sz val="7"/>
        <color indexed="8"/>
        <rFont val="Arial"/>
        <family val="2"/>
        <charset val="1"/>
      </rPr>
      <t>st</t>
    </r>
    <r>
      <rPr>
        <sz val="7"/>
        <color indexed="8"/>
        <rFont val="Arial"/>
        <family val="2"/>
        <charset val="1"/>
      </rPr>
      <t xml:space="preserve"> level spell) (30)Daily II Item (1</t>
    </r>
    <r>
      <rPr>
        <vertAlign val="superscript"/>
        <sz val="7"/>
        <color indexed="8"/>
        <rFont val="Arial"/>
        <family val="2"/>
        <charset val="1"/>
      </rPr>
      <t>st</t>
    </r>
    <r>
      <rPr>
        <sz val="7"/>
        <color indexed="8"/>
        <rFont val="Arial"/>
        <family val="2"/>
        <charset val="1"/>
      </rPr>
      <t xml:space="preserve"> level spell) (30)Daily II Item (1</t>
    </r>
    <r>
      <rPr>
        <vertAlign val="superscript"/>
        <sz val="7"/>
        <color indexed="8"/>
        <rFont val="Arial"/>
        <family val="2"/>
        <charset val="1"/>
      </rPr>
      <t>st</t>
    </r>
    <r>
      <rPr>
        <sz val="7"/>
        <color indexed="8"/>
        <rFont val="Arial"/>
        <family val="2"/>
        <charset val="1"/>
      </rPr>
      <t xml:space="preserve"> level spell) (30)Daily II Item (1</t>
    </r>
    <r>
      <rPr>
        <vertAlign val="superscript"/>
        <sz val="7"/>
        <color indexed="8"/>
        <rFont val="Arial"/>
        <family val="2"/>
        <charset val="1"/>
      </rPr>
      <t>st</t>
    </r>
    <r>
      <rPr>
        <sz val="7"/>
        <color indexed="8"/>
        <rFont val="Arial"/>
        <family val="2"/>
        <charset val="1"/>
      </rPr>
      <t xml:space="preserve"> level spell) (30)Daily II Item (1</t>
    </r>
    <r>
      <rPr>
        <vertAlign val="superscript"/>
        <sz val="7"/>
        <color indexed="8"/>
        <rFont val="Arial"/>
        <family val="2"/>
        <charset val="1"/>
      </rPr>
      <t>st</t>
    </r>
    <r>
      <rPr>
        <sz val="7"/>
        <color indexed="8"/>
        <rFont val="Arial"/>
        <family val="2"/>
        <charset val="1"/>
      </rPr>
      <t xml:space="preserve"> level spell) (30)Daily II Item (1</t>
    </r>
    <r>
      <rPr>
        <vertAlign val="superscript"/>
        <sz val="7"/>
        <color indexed="8"/>
        <rFont val="Arial"/>
        <family val="2"/>
        <charset val="1"/>
      </rPr>
      <t>st</t>
    </r>
    <r>
      <rPr>
        <sz val="7"/>
        <color indexed="8"/>
        <rFont val="Arial"/>
        <family val="2"/>
        <charset val="1"/>
      </rPr>
      <t xml:space="preserve"> level spell) (30)Daily II Item (1</t>
    </r>
    <r>
      <rPr>
        <vertAlign val="superscript"/>
        <sz val="7"/>
        <color indexed="8"/>
        <rFont val="Arial"/>
        <family val="2"/>
        <charset val="1"/>
      </rPr>
      <t>st</t>
    </r>
    <r>
      <rPr>
        <sz val="7"/>
        <color indexed="8"/>
        <rFont val="Arial"/>
        <family val="2"/>
        <charset val="1"/>
      </rPr>
      <t xml:space="preserve"> level spell) (30)Daily II Item (1</t>
    </r>
    <r>
      <rPr>
        <vertAlign val="superscript"/>
        <sz val="7"/>
        <color indexed="8"/>
        <rFont val="Arial"/>
        <family val="2"/>
        <charset val="1"/>
      </rPr>
      <t>st</t>
    </r>
    <r>
      <rPr>
        <sz val="7"/>
        <color indexed="8"/>
        <rFont val="Arial"/>
        <family val="2"/>
        <charset val="1"/>
      </rPr>
      <t xml:space="preserve"> level spell) (30)Daily II Item (1</t>
    </r>
    <r>
      <rPr>
        <vertAlign val="superscript"/>
        <sz val="7"/>
        <color indexed="8"/>
        <rFont val="Arial"/>
        <family val="2"/>
        <charset val="1"/>
      </rPr>
      <t>st</t>
    </r>
    <r>
      <rPr>
        <sz val="7"/>
        <color indexed="8"/>
        <rFont val="Arial"/>
        <family val="2"/>
        <charset val="1"/>
      </rPr>
      <t xml:space="preserve"> level spell) (30)Daily II Item (1</t>
    </r>
    <r>
      <rPr>
        <vertAlign val="superscript"/>
        <sz val="7"/>
        <color indexed="8"/>
        <rFont val="Arial"/>
        <family val="2"/>
        <charset val="1"/>
      </rPr>
      <t>st</t>
    </r>
    <r>
      <rPr>
        <sz val="7"/>
        <color indexed="8"/>
        <rFont val="Arial"/>
        <family val="2"/>
        <charset val="1"/>
      </rPr>
      <t xml:space="preserve"> level spell) (30)Daily II Item (1</t>
    </r>
    <r>
      <rPr>
        <vertAlign val="superscript"/>
        <sz val="7"/>
        <color indexed="8"/>
        <rFont val="Arial"/>
        <family val="2"/>
        <charset val="1"/>
      </rPr>
      <t>st</t>
    </r>
    <r>
      <rPr>
        <sz val="7"/>
        <color indexed="8"/>
        <rFont val="Arial"/>
        <family val="2"/>
        <charset val="1"/>
      </rPr>
      <t xml:space="preserve"> level spell) (30)Daily II Item (1</t>
    </r>
    <r>
      <rPr>
        <vertAlign val="superscript"/>
        <sz val="7"/>
        <color indexed="8"/>
        <rFont val="Arial"/>
        <family val="2"/>
        <charset val="1"/>
      </rPr>
      <t>st</t>
    </r>
    <r>
      <rPr>
        <sz val="7"/>
        <color indexed="8"/>
        <rFont val="Arial"/>
        <family val="2"/>
        <charset val="1"/>
      </rPr>
      <t xml:space="preserve"> level spell) (30)Daily II Item (1</t>
    </r>
    <r>
      <rPr>
        <vertAlign val="superscript"/>
        <sz val="7"/>
        <color indexed="8"/>
        <rFont val="Arial"/>
        <family val="2"/>
        <charset val="1"/>
      </rPr>
      <t>st</t>
    </r>
    <r>
      <rPr>
        <sz val="7"/>
        <color indexed="8"/>
        <rFont val="Arial"/>
        <family val="2"/>
        <charset val="1"/>
      </rPr>
      <t xml:space="preserve"> level spell) (30)Daily II Item (1</t>
    </r>
    <r>
      <rPr>
        <vertAlign val="superscript"/>
        <sz val="7"/>
        <color indexed="8"/>
        <rFont val="Arial"/>
        <family val="2"/>
        <charset val="1"/>
      </rPr>
      <t>st</t>
    </r>
    <r>
      <rPr>
        <sz val="7"/>
        <color indexed="8"/>
        <rFont val="Arial"/>
        <family val="2"/>
        <charset val="1"/>
      </rPr>
      <t xml:space="preserve"> level spell) (30)Daily II Item (1</t>
    </r>
    <r>
      <rPr>
        <vertAlign val="superscript"/>
        <sz val="7"/>
        <color indexed="8"/>
        <rFont val="Arial"/>
        <family val="2"/>
        <charset val="1"/>
      </rPr>
      <t>st</t>
    </r>
    <r>
      <rPr>
        <sz val="7"/>
        <color indexed="8"/>
        <rFont val="Arial"/>
        <family val="2"/>
        <charset val="1"/>
      </rPr>
      <t xml:space="preserve"> level spell) (30)Daily II Item (1</t>
    </r>
    <r>
      <rPr>
        <vertAlign val="superscript"/>
        <sz val="7"/>
        <color indexed="8"/>
        <rFont val="Arial"/>
        <family val="2"/>
        <charset val="1"/>
      </rPr>
      <t>st</t>
    </r>
    <r>
      <rPr>
        <sz val="7"/>
        <color indexed="8"/>
        <rFont val="Arial"/>
        <family val="2"/>
        <charset val="1"/>
      </rPr>
      <t xml:space="preserve"> level spell) (30)Daily II Item (1</t>
    </r>
    <r>
      <rPr>
        <vertAlign val="superscript"/>
        <sz val="7"/>
        <color indexed="8"/>
        <rFont val="Arial"/>
        <family val="2"/>
        <charset val="1"/>
      </rPr>
      <t>st</t>
    </r>
    <r>
      <rPr>
        <sz val="7"/>
        <color indexed="8"/>
        <rFont val="Arial"/>
        <family val="2"/>
        <charset val="1"/>
      </rPr>
      <t xml:space="preserve"> level spell) (30)Daily II Item (1</t>
    </r>
    <r>
      <rPr>
        <vertAlign val="superscript"/>
        <sz val="7"/>
        <color indexed="8"/>
        <rFont val="Arial"/>
        <family val="2"/>
        <charset val="1"/>
      </rPr>
      <t>st</t>
    </r>
    <r>
      <rPr>
        <sz val="7"/>
        <color indexed="8"/>
        <rFont val="Arial"/>
        <family val="2"/>
        <charset val="1"/>
      </rPr>
      <t xml:space="preserve"> level spell) (30)Daily II Item (1</t>
    </r>
    <r>
      <rPr>
        <vertAlign val="superscript"/>
        <sz val="7"/>
        <color indexed="8"/>
        <rFont val="Arial"/>
        <family val="2"/>
        <charset val="1"/>
      </rPr>
      <t>st</t>
    </r>
    <r>
      <rPr>
        <sz val="7"/>
        <color indexed="8"/>
        <rFont val="Arial"/>
        <family val="2"/>
        <charset val="1"/>
      </rPr>
      <t xml:space="preserve"> level spell) (30)Daily II Item (1</t>
    </r>
    <r>
      <rPr>
        <vertAlign val="superscript"/>
        <sz val="7"/>
        <color indexed="8"/>
        <rFont val="Arial"/>
        <family val="2"/>
        <charset val="1"/>
      </rPr>
      <t>st</t>
    </r>
    <r>
      <rPr>
        <sz val="7"/>
        <color indexed="8"/>
        <rFont val="Arial"/>
        <family val="2"/>
        <charset val="1"/>
      </rPr>
      <t xml:space="preserve"> level spell) (30)Daily II Item (1</t>
    </r>
    <r>
      <rPr>
        <vertAlign val="superscript"/>
        <sz val="7"/>
        <color indexed="8"/>
        <rFont val="Arial"/>
        <family val="2"/>
        <charset val="1"/>
      </rPr>
      <t>st</t>
    </r>
    <r>
      <rPr>
        <sz val="7"/>
        <color indexed="8"/>
        <rFont val="Arial"/>
        <family val="2"/>
        <charset val="1"/>
      </rPr>
      <t xml:space="preserve"> level spell) (30)Daily II Item (1</t>
    </r>
    <r>
      <rPr>
        <vertAlign val="superscript"/>
        <sz val="7"/>
        <color indexed="8"/>
        <rFont val="Arial"/>
        <family val="2"/>
        <charset val="1"/>
      </rPr>
      <t>st</t>
    </r>
    <r>
      <rPr>
        <sz val="7"/>
        <color indexed="8"/>
        <rFont val="Arial"/>
        <family val="2"/>
        <charset val="1"/>
      </rPr>
      <t xml:space="preserve"> level spell) (30)Daily II Item (1</t>
    </r>
    <r>
      <rPr>
        <vertAlign val="superscript"/>
        <sz val="7"/>
        <color indexed="8"/>
        <rFont val="Arial"/>
        <family val="2"/>
        <charset val="1"/>
      </rPr>
      <t>st</t>
    </r>
    <r>
      <rPr>
        <sz val="7"/>
        <color indexed="8"/>
        <rFont val="Arial"/>
        <family val="2"/>
        <charset val="1"/>
      </rPr>
      <t xml:space="preserve"> level spell) (30)Daily II Item (1</t>
    </r>
    <r>
      <rPr>
        <vertAlign val="superscript"/>
        <sz val="7"/>
        <color indexed="8"/>
        <rFont val="Arial"/>
        <family val="2"/>
        <charset val="1"/>
      </rPr>
      <t>st</t>
    </r>
    <r>
      <rPr>
        <sz val="7"/>
        <color indexed="8"/>
        <rFont val="Arial"/>
        <family val="2"/>
        <charset val="1"/>
      </rPr>
      <t xml:space="preserve"> level spell) (30)</t>
    </r>
  </si>
  <si>
    <t>Lore – Magical Cat 3</t>
  </si>
  <si>
    <t>choice of up to 4 skills 4 (total)</t>
  </si>
  <si>
    <t>choice of either Guildcraft Mastery or Traveler's Ways 3</t>
  </si>
  <si>
    <t>Urban CAT 2</t>
  </si>
  <si>
    <t>Chancellor (V), CC</t>
  </si>
  <si>
    <t>Holy symbol, +10 spell casting (50)</t>
  </si>
  <si>
    <t>Relic of the faith, +10 Influence skills (40)</t>
  </si>
  <si>
    <t>Favor owed by a Mythic (30)</t>
  </si>
  <si>
    <t>Favor performed for faith, one time +10 to Divine Intervention (30)</t>
  </si>
  <si>
    <t>A powerful religious relic (20)</t>
  </si>
  <si>
    <t>Noble patron (0)</t>
  </si>
  <si>
    <t>Communications CAT 1</t>
  </si>
  <si>
    <t>Propaganda 2</t>
  </si>
  <si>
    <t>Public Speaking 3</t>
  </si>
  <si>
    <t>Religion 3</t>
  </si>
  <si>
    <t>Philosophy 1</t>
  </si>
  <si>
    <t>Spesific lore related to religion 1</t>
  </si>
  <si>
    <t>Divination 1</t>
  </si>
  <si>
    <t>Spells – Own Realm, Open CAT 0</t>
  </si>
  <si>
    <t>Ceremonies 2</t>
  </si>
  <si>
    <t>choice of one spell list 3</t>
  </si>
  <si>
    <t>Administration 3</t>
  </si>
  <si>
    <t>At least 12 ranks in Religion (-4 points)</t>
  </si>
  <si>
    <t>Cultist (L), CC</t>
  </si>
  <si>
    <t>Book, +15 to Magic Lore (50)</t>
  </si>
  <si>
    <t>Enemies with a rival cult (40)</t>
  </si>
  <si>
    <t>Book, +5 to Magic Lore (30)</t>
  </si>
  <si>
    <t>Book, +5 to Obscure Lore (30)</t>
  </si>
  <si>
    <r>
      <t>Daily II Item (2</t>
    </r>
    <r>
      <rPr>
        <vertAlign val="superscript"/>
        <sz val="7"/>
        <color indexed="8"/>
        <rFont val="Arial"/>
        <family val="2"/>
        <charset val="1"/>
      </rPr>
      <t>nd</t>
    </r>
    <r>
      <rPr>
        <sz val="7"/>
        <color indexed="8"/>
        <rFont val="Arial"/>
        <family val="2"/>
        <charset val="1"/>
      </rPr>
      <t xml:space="preserve"> level spell) (20)Daily II Item (2</t>
    </r>
    <r>
      <rPr>
        <vertAlign val="superscript"/>
        <sz val="7"/>
        <color indexed="8"/>
        <rFont val="Arial"/>
        <family val="2"/>
        <charset val="1"/>
      </rPr>
      <t>nd</t>
    </r>
    <r>
      <rPr>
        <sz val="7"/>
        <color indexed="8"/>
        <rFont val="Arial"/>
        <family val="2"/>
        <charset val="1"/>
      </rPr>
      <t xml:space="preserve"> level spell) (20)Daily II Item (2</t>
    </r>
    <r>
      <rPr>
        <vertAlign val="superscript"/>
        <sz val="7"/>
        <color indexed="8"/>
        <rFont val="Arial"/>
        <family val="2"/>
        <charset val="1"/>
      </rPr>
      <t>nd</t>
    </r>
    <r>
      <rPr>
        <sz val="7"/>
        <color indexed="8"/>
        <rFont val="Arial"/>
        <family val="2"/>
        <charset val="1"/>
      </rPr>
      <t xml:space="preserve"> level spell) (20)Daily II Item (2</t>
    </r>
    <r>
      <rPr>
        <vertAlign val="superscript"/>
        <sz val="7"/>
        <color indexed="8"/>
        <rFont val="Arial"/>
        <family val="2"/>
        <charset val="1"/>
      </rPr>
      <t>nd</t>
    </r>
    <r>
      <rPr>
        <sz val="7"/>
        <color indexed="8"/>
        <rFont val="Arial"/>
        <family val="2"/>
        <charset val="1"/>
      </rPr>
      <t xml:space="preserve"> level spell) (20)Daily II Item (2</t>
    </r>
    <r>
      <rPr>
        <vertAlign val="superscript"/>
        <sz val="7"/>
        <color indexed="8"/>
        <rFont val="Arial"/>
        <family val="2"/>
        <charset val="1"/>
      </rPr>
      <t>nd</t>
    </r>
    <r>
      <rPr>
        <sz val="7"/>
        <color indexed="8"/>
        <rFont val="Arial"/>
        <family val="2"/>
        <charset val="1"/>
      </rPr>
      <t xml:space="preserve"> level spell) (20)Daily II Item (2</t>
    </r>
    <r>
      <rPr>
        <vertAlign val="superscript"/>
        <sz val="7"/>
        <color indexed="8"/>
        <rFont val="Arial"/>
        <family val="2"/>
        <charset val="1"/>
      </rPr>
      <t>nd</t>
    </r>
    <r>
      <rPr>
        <sz val="7"/>
        <color indexed="8"/>
        <rFont val="Arial"/>
        <family val="2"/>
        <charset val="1"/>
      </rPr>
      <t xml:space="preserve"> level spell) (20)Daily II Item (2</t>
    </r>
    <r>
      <rPr>
        <vertAlign val="superscript"/>
        <sz val="7"/>
        <color indexed="8"/>
        <rFont val="Arial"/>
        <family val="2"/>
        <charset val="1"/>
      </rPr>
      <t>nd</t>
    </r>
    <r>
      <rPr>
        <sz val="7"/>
        <color indexed="8"/>
        <rFont val="Arial"/>
        <family val="2"/>
        <charset val="1"/>
      </rPr>
      <t xml:space="preserve"> level spell) (20)Daily II Item (2</t>
    </r>
    <r>
      <rPr>
        <vertAlign val="superscript"/>
        <sz val="7"/>
        <color indexed="8"/>
        <rFont val="Arial"/>
        <family val="2"/>
        <charset val="1"/>
      </rPr>
      <t>nd</t>
    </r>
    <r>
      <rPr>
        <sz val="7"/>
        <color indexed="8"/>
        <rFont val="Arial"/>
        <family val="2"/>
        <charset val="1"/>
      </rPr>
      <t xml:space="preserve"> level spell) (20)Daily II Item (2</t>
    </r>
    <r>
      <rPr>
        <vertAlign val="superscript"/>
        <sz val="7"/>
        <color indexed="8"/>
        <rFont val="Arial"/>
        <family val="2"/>
        <charset val="1"/>
      </rPr>
      <t>nd</t>
    </r>
    <r>
      <rPr>
        <sz val="7"/>
        <color indexed="8"/>
        <rFont val="Arial"/>
        <family val="2"/>
        <charset val="1"/>
      </rPr>
      <t xml:space="preserve"> level spell) (20)Daily II Item (2</t>
    </r>
    <r>
      <rPr>
        <vertAlign val="superscript"/>
        <sz val="7"/>
        <color indexed="8"/>
        <rFont val="Arial"/>
        <family val="2"/>
        <charset val="1"/>
      </rPr>
      <t>nd</t>
    </r>
    <r>
      <rPr>
        <sz val="7"/>
        <color indexed="8"/>
        <rFont val="Arial"/>
        <family val="2"/>
        <charset val="1"/>
      </rPr>
      <t xml:space="preserve"> level spell) (20)Daily II Item (2</t>
    </r>
    <r>
      <rPr>
        <vertAlign val="superscript"/>
        <sz val="7"/>
        <color indexed="8"/>
        <rFont val="Arial"/>
        <family val="2"/>
        <charset val="1"/>
      </rPr>
      <t>nd</t>
    </r>
    <r>
      <rPr>
        <sz val="7"/>
        <color indexed="8"/>
        <rFont val="Arial"/>
        <family val="2"/>
        <charset val="1"/>
      </rPr>
      <t xml:space="preserve"> level spell) (20)Daily II Item (2</t>
    </r>
    <r>
      <rPr>
        <vertAlign val="superscript"/>
        <sz val="7"/>
        <color indexed="8"/>
        <rFont val="Arial"/>
        <family val="2"/>
        <charset val="1"/>
      </rPr>
      <t>nd</t>
    </r>
    <r>
      <rPr>
        <sz val="7"/>
        <color indexed="8"/>
        <rFont val="Arial"/>
        <family val="2"/>
        <charset val="1"/>
      </rPr>
      <t xml:space="preserve"> level spell) (20)Daily II Item (2</t>
    </r>
    <r>
      <rPr>
        <vertAlign val="superscript"/>
        <sz val="7"/>
        <color indexed="8"/>
        <rFont val="Arial"/>
        <family val="2"/>
        <charset val="1"/>
      </rPr>
      <t>nd</t>
    </r>
    <r>
      <rPr>
        <sz val="7"/>
        <color indexed="8"/>
        <rFont val="Arial"/>
        <family val="2"/>
        <charset val="1"/>
      </rPr>
      <t xml:space="preserve"> level spell) (20)Daily II Item (2</t>
    </r>
    <r>
      <rPr>
        <vertAlign val="superscript"/>
        <sz val="7"/>
        <color indexed="8"/>
        <rFont val="Arial"/>
        <family val="2"/>
        <charset val="1"/>
      </rPr>
      <t>nd</t>
    </r>
    <r>
      <rPr>
        <sz val="7"/>
        <color indexed="8"/>
        <rFont val="Arial"/>
        <family val="2"/>
        <charset val="1"/>
      </rPr>
      <t xml:space="preserve"> level spell) (20)Daily II Item (2</t>
    </r>
    <r>
      <rPr>
        <vertAlign val="superscript"/>
        <sz val="7"/>
        <color indexed="8"/>
        <rFont val="Arial"/>
        <family val="2"/>
        <charset val="1"/>
      </rPr>
      <t>nd</t>
    </r>
    <r>
      <rPr>
        <sz val="7"/>
        <color indexed="8"/>
        <rFont val="Arial"/>
        <family val="2"/>
        <charset val="1"/>
      </rPr>
      <t xml:space="preserve"> level spell) (20)Daily II Item (2</t>
    </r>
    <r>
      <rPr>
        <vertAlign val="superscript"/>
        <sz val="7"/>
        <color indexed="8"/>
        <rFont val="Arial"/>
        <family val="2"/>
        <charset val="1"/>
      </rPr>
      <t>nd</t>
    </r>
    <r>
      <rPr>
        <sz val="7"/>
        <color indexed="8"/>
        <rFont val="Arial"/>
        <family val="2"/>
        <charset val="1"/>
      </rPr>
      <t xml:space="preserve"> level spell) (20)Daily II Item (2</t>
    </r>
    <r>
      <rPr>
        <vertAlign val="superscript"/>
        <sz val="7"/>
        <color indexed="8"/>
        <rFont val="Arial"/>
        <family val="2"/>
        <charset val="1"/>
      </rPr>
      <t>nd</t>
    </r>
    <r>
      <rPr>
        <sz val="7"/>
        <color indexed="8"/>
        <rFont val="Arial"/>
        <family val="2"/>
        <charset val="1"/>
      </rPr>
      <t xml:space="preserve"> level spell) (20)Daily II Item (2</t>
    </r>
    <r>
      <rPr>
        <vertAlign val="superscript"/>
        <sz val="7"/>
        <color indexed="8"/>
        <rFont val="Arial"/>
        <family val="2"/>
        <charset val="1"/>
      </rPr>
      <t>nd</t>
    </r>
    <r>
      <rPr>
        <sz val="7"/>
        <color indexed="8"/>
        <rFont val="Arial"/>
        <family val="2"/>
        <charset val="1"/>
      </rPr>
      <t xml:space="preserve"> level spell) (20)Daily II Item (2</t>
    </r>
    <r>
      <rPr>
        <vertAlign val="superscript"/>
        <sz val="7"/>
        <color indexed="8"/>
        <rFont val="Arial"/>
        <family val="2"/>
        <charset val="1"/>
      </rPr>
      <t>nd</t>
    </r>
    <r>
      <rPr>
        <sz val="7"/>
        <color indexed="8"/>
        <rFont val="Arial"/>
        <family val="2"/>
        <charset val="1"/>
      </rPr>
      <t xml:space="preserve"> level spell) (20)Daily II Item (2</t>
    </r>
    <r>
      <rPr>
        <vertAlign val="superscript"/>
        <sz val="7"/>
        <color indexed="8"/>
        <rFont val="Arial"/>
        <family val="2"/>
        <charset val="1"/>
      </rPr>
      <t>nd</t>
    </r>
    <r>
      <rPr>
        <sz val="7"/>
        <color indexed="8"/>
        <rFont val="Arial"/>
        <family val="2"/>
        <charset val="1"/>
      </rPr>
      <t xml:space="preserve"> level spell) (20)Daily II Item (2</t>
    </r>
    <r>
      <rPr>
        <vertAlign val="superscript"/>
        <sz val="7"/>
        <color indexed="8"/>
        <rFont val="Arial"/>
        <family val="2"/>
        <charset val="1"/>
      </rPr>
      <t>nd</t>
    </r>
    <r>
      <rPr>
        <sz val="7"/>
        <color indexed="8"/>
        <rFont val="Arial"/>
        <family val="2"/>
        <charset val="1"/>
      </rPr>
      <t xml:space="preserve"> level spell) (20)Daily II Item (2</t>
    </r>
    <r>
      <rPr>
        <vertAlign val="superscript"/>
        <sz val="7"/>
        <color indexed="8"/>
        <rFont val="Arial"/>
        <family val="2"/>
        <charset val="1"/>
      </rPr>
      <t>nd</t>
    </r>
    <r>
      <rPr>
        <sz val="7"/>
        <color indexed="8"/>
        <rFont val="Arial"/>
        <family val="2"/>
        <charset val="1"/>
      </rPr>
      <t xml:space="preserve"> level spell) (20)Daily II Item (2</t>
    </r>
    <r>
      <rPr>
        <vertAlign val="superscript"/>
        <sz val="7"/>
        <color indexed="8"/>
        <rFont val="Arial"/>
        <family val="2"/>
        <charset val="1"/>
      </rPr>
      <t>nd</t>
    </r>
    <r>
      <rPr>
        <sz val="7"/>
        <color indexed="8"/>
        <rFont val="Arial"/>
        <family val="2"/>
        <charset val="1"/>
      </rPr>
      <t xml:space="preserve"> level spell) (20)Daily II Item (2</t>
    </r>
    <r>
      <rPr>
        <vertAlign val="superscript"/>
        <sz val="7"/>
        <color indexed="8"/>
        <rFont val="Arial"/>
        <family val="2"/>
        <charset val="1"/>
      </rPr>
      <t>nd</t>
    </r>
    <r>
      <rPr>
        <sz val="7"/>
        <color indexed="8"/>
        <rFont val="Arial"/>
        <family val="2"/>
        <charset val="1"/>
      </rPr>
      <t xml:space="preserve"> level spell) (20)Daily II Item (2</t>
    </r>
    <r>
      <rPr>
        <vertAlign val="superscript"/>
        <sz val="7"/>
        <color indexed="8"/>
        <rFont val="Arial"/>
        <family val="2"/>
        <charset val="1"/>
      </rPr>
      <t>nd</t>
    </r>
    <r>
      <rPr>
        <sz val="7"/>
        <color indexed="8"/>
        <rFont val="Arial"/>
        <family val="2"/>
        <charset val="1"/>
      </rPr>
      <t xml:space="preserve"> level spell) (20)</t>
    </r>
  </si>
  <si>
    <t>Summoner (friend or enemy; GM's discretion) (20)</t>
  </si>
  <si>
    <t>Special Training, +10 OB vs spesific creature (10)</t>
  </si>
  <si>
    <t>Special Ward, +10 protection vs spesific creature (0)</t>
  </si>
  <si>
    <t>Reality Awareness 2</t>
  </si>
  <si>
    <t>Religion 1</t>
  </si>
  <si>
    <t>spesific lore related to religion 1</t>
  </si>
  <si>
    <t>Demon/Devil Lore 2</t>
  </si>
  <si>
    <t>choice of one spell list 2</t>
  </si>
  <si>
    <t>One Lore – Obscure -skill may be chosen as a Lifestyle skill</t>
  </si>
  <si>
    <t>Inquisitor (V), CC</t>
  </si>
  <si>
    <t>List of ”non-believers” (40)</t>
  </si>
  <si>
    <t>Well-known reputation (30)</t>
  </si>
  <si>
    <t>Elusive target (20)</t>
  </si>
  <si>
    <t>Knows a secret about local clergy member (20)</t>
  </si>
  <si>
    <t>Torturing Tools, +5 Interrogation (0)</t>
  </si>
  <si>
    <t>Awareness – Searching CAT 3</t>
  </si>
  <si>
    <t>Lie Perception 2</t>
  </si>
  <si>
    <t>Interrogation 3</t>
  </si>
  <si>
    <t>Public Speaking 1</t>
  </si>
  <si>
    <t>Contacting 1</t>
  </si>
  <si>
    <t>Medic (V), CC</t>
  </si>
  <si>
    <t>d5 Concussion Repair herbs (50)</t>
  </si>
  <si>
    <t>d5 Poison Antidote herbs (40)</t>
  </si>
  <si>
    <t>d5 Burn Repair herbs (40)</t>
  </si>
  <si>
    <t>d5 Muscle/Cartilage Repair herbs (30)</t>
  </si>
  <si>
    <t>d5 Bone Repair herbs (20)</t>
  </si>
  <si>
    <t>d5 Organ Repair herbs (20)</t>
  </si>
  <si>
    <t>Superior medical kit, +10 (20)</t>
  </si>
  <si>
    <t>Medical kit, +5 (0)</t>
  </si>
  <si>
    <t>Healing Trance 1</t>
  </si>
  <si>
    <t>Spells – Own Real, Open list CAT 0</t>
  </si>
  <si>
    <t>Concussion's Ways 3</t>
  </si>
  <si>
    <t>First Aid 4</t>
  </si>
  <si>
    <t>Using Prepared Herbs 2</t>
  </si>
  <si>
    <t>Technical/Trade – Professional 0</t>
  </si>
  <si>
    <t>Diagnistocs 1</t>
  </si>
  <si>
    <t>Medium (L), CC</t>
  </si>
  <si>
    <t>Holy symbol, +5 spell casting (50)</t>
  </si>
  <si>
    <t>Special foucs item, +10 to entering trances (40)</t>
  </si>
  <si>
    <t>Favor from a high priest (10)</t>
  </si>
  <si>
    <t>Special religions token/sigil (0)</t>
  </si>
  <si>
    <t>Religion 2</t>
  </si>
  <si>
    <t>Adrenal Stabilization 1</t>
  </si>
  <si>
    <t>Cleansing Trance 2</t>
  </si>
  <si>
    <t>Healing Trance 2</t>
  </si>
  <si>
    <t>Meditation 2</t>
  </si>
  <si>
    <t>Holy Trances 2</t>
  </si>
  <si>
    <t>At least 10 ranks in the Self Control CAT (-3 points)</t>
  </si>
  <si>
    <t>Minister (V), CC</t>
  </si>
  <si>
    <t>Original church text (30)</t>
  </si>
  <si>
    <t>Spell Adder +2 (20)</t>
  </si>
  <si>
    <t>Close friends with a former student (20)</t>
  </si>
  <si>
    <r>
      <t>Daily III Item (3</t>
    </r>
    <r>
      <rPr>
        <vertAlign val="superscript"/>
        <sz val="7"/>
        <color indexed="8"/>
        <rFont val="Arial"/>
        <family val="2"/>
        <charset val="1"/>
      </rPr>
      <t>rd</t>
    </r>
    <r>
      <rPr>
        <sz val="7"/>
        <color indexed="8"/>
        <rFont val="Arial"/>
        <family val="2"/>
        <charset val="1"/>
      </rPr>
      <t xml:space="preserve"> level spell) (20)Daily III Item (3</t>
    </r>
    <r>
      <rPr>
        <vertAlign val="superscript"/>
        <sz val="7"/>
        <color indexed="8"/>
        <rFont val="Arial"/>
        <family val="2"/>
        <charset val="1"/>
      </rPr>
      <t>rd</t>
    </r>
    <r>
      <rPr>
        <sz val="7"/>
        <color indexed="8"/>
        <rFont val="Arial"/>
        <family val="2"/>
        <charset val="1"/>
      </rPr>
      <t xml:space="preserve"> level spell) (20)Daily III Item (3</t>
    </r>
    <r>
      <rPr>
        <vertAlign val="superscript"/>
        <sz val="7"/>
        <color indexed="8"/>
        <rFont val="Arial"/>
        <family val="2"/>
        <charset val="1"/>
      </rPr>
      <t>rd</t>
    </r>
    <r>
      <rPr>
        <sz val="7"/>
        <color indexed="8"/>
        <rFont val="Arial"/>
        <family val="2"/>
        <charset val="1"/>
      </rPr>
      <t xml:space="preserve"> level spell) (20)Daily III Item (3</t>
    </r>
    <r>
      <rPr>
        <vertAlign val="superscript"/>
        <sz val="7"/>
        <color indexed="8"/>
        <rFont val="Arial"/>
        <family val="2"/>
        <charset val="1"/>
      </rPr>
      <t>rd</t>
    </r>
    <r>
      <rPr>
        <sz val="7"/>
        <color indexed="8"/>
        <rFont val="Arial"/>
        <family val="2"/>
        <charset val="1"/>
      </rPr>
      <t xml:space="preserve"> level spell) (20)Daily III Item (3</t>
    </r>
    <r>
      <rPr>
        <vertAlign val="superscript"/>
        <sz val="7"/>
        <color indexed="8"/>
        <rFont val="Arial"/>
        <family val="2"/>
        <charset val="1"/>
      </rPr>
      <t>rd</t>
    </r>
    <r>
      <rPr>
        <sz val="7"/>
        <color indexed="8"/>
        <rFont val="Arial"/>
        <family val="2"/>
        <charset val="1"/>
      </rPr>
      <t xml:space="preserve"> level spell) (20)Daily III Item (3</t>
    </r>
    <r>
      <rPr>
        <vertAlign val="superscript"/>
        <sz val="7"/>
        <color indexed="8"/>
        <rFont val="Arial"/>
        <family val="2"/>
        <charset val="1"/>
      </rPr>
      <t>rd</t>
    </r>
    <r>
      <rPr>
        <sz val="7"/>
        <color indexed="8"/>
        <rFont val="Arial"/>
        <family val="2"/>
        <charset val="1"/>
      </rPr>
      <t xml:space="preserve"> level spell) (20)Daily III Item (3</t>
    </r>
    <r>
      <rPr>
        <vertAlign val="superscript"/>
        <sz val="7"/>
        <color indexed="8"/>
        <rFont val="Arial"/>
        <family val="2"/>
        <charset val="1"/>
      </rPr>
      <t>rd</t>
    </r>
    <r>
      <rPr>
        <sz val="7"/>
        <color indexed="8"/>
        <rFont val="Arial"/>
        <family val="2"/>
        <charset val="1"/>
      </rPr>
      <t xml:space="preserve"> level spell) (20)Daily III Item (3</t>
    </r>
    <r>
      <rPr>
        <vertAlign val="superscript"/>
        <sz val="7"/>
        <color indexed="8"/>
        <rFont val="Arial"/>
        <family val="2"/>
        <charset val="1"/>
      </rPr>
      <t>rd</t>
    </r>
    <r>
      <rPr>
        <sz val="7"/>
        <color indexed="8"/>
        <rFont val="Arial"/>
        <family val="2"/>
        <charset val="1"/>
      </rPr>
      <t xml:space="preserve"> level spell) (20)Daily III Item (3</t>
    </r>
    <r>
      <rPr>
        <vertAlign val="superscript"/>
        <sz val="7"/>
        <color indexed="8"/>
        <rFont val="Arial"/>
        <family val="2"/>
        <charset val="1"/>
      </rPr>
      <t>rd</t>
    </r>
    <r>
      <rPr>
        <sz val="7"/>
        <color indexed="8"/>
        <rFont val="Arial"/>
        <family val="2"/>
        <charset val="1"/>
      </rPr>
      <t xml:space="preserve"> level spell) (20)Daily III Item (3</t>
    </r>
    <r>
      <rPr>
        <vertAlign val="superscript"/>
        <sz val="7"/>
        <color indexed="8"/>
        <rFont val="Arial"/>
        <family val="2"/>
        <charset val="1"/>
      </rPr>
      <t>rd</t>
    </r>
    <r>
      <rPr>
        <sz val="7"/>
        <color indexed="8"/>
        <rFont val="Arial"/>
        <family val="2"/>
        <charset val="1"/>
      </rPr>
      <t xml:space="preserve"> level spell) (20)Daily III Item (3</t>
    </r>
    <r>
      <rPr>
        <vertAlign val="superscript"/>
        <sz val="7"/>
        <color indexed="8"/>
        <rFont val="Arial"/>
        <family val="2"/>
        <charset val="1"/>
      </rPr>
      <t>rd</t>
    </r>
    <r>
      <rPr>
        <sz val="7"/>
        <color indexed="8"/>
        <rFont val="Arial"/>
        <family val="2"/>
        <charset val="1"/>
      </rPr>
      <t xml:space="preserve"> level spell) (20)Daily III Item (3</t>
    </r>
    <r>
      <rPr>
        <vertAlign val="superscript"/>
        <sz val="7"/>
        <color indexed="8"/>
        <rFont val="Arial"/>
        <family val="2"/>
        <charset val="1"/>
      </rPr>
      <t>rd</t>
    </r>
    <r>
      <rPr>
        <sz val="7"/>
        <color indexed="8"/>
        <rFont val="Arial"/>
        <family val="2"/>
        <charset val="1"/>
      </rPr>
      <t xml:space="preserve"> level spell) (20)Daily III Item (3</t>
    </r>
    <r>
      <rPr>
        <vertAlign val="superscript"/>
        <sz val="7"/>
        <color indexed="8"/>
        <rFont val="Arial"/>
        <family val="2"/>
        <charset val="1"/>
      </rPr>
      <t>rd</t>
    </r>
    <r>
      <rPr>
        <sz val="7"/>
        <color indexed="8"/>
        <rFont val="Arial"/>
        <family val="2"/>
        <charset val="1"/>
      </rPr>
      <t xml:space="preserve"> level spell) (20)Daily III Item (3</t>
    </r>
    <r>
      <rPr>
        <vertAlign val="superscript"/>
        <sz val="7"/>
        <color indexed="8"/>
        <rFont val="Arial"/>
        <family val="2"/>
        <charset val="1"/>
      </rPr>
      <t>rd</t>
    </r>
    <r>
      <rPr>
        <sz val="7"/>
        <color indexed="8"/>
        <rFont val="Arial"/>
        <family val="2"/>
        <charset val="1"/>
      </rPr>
      <t xml:space="preserve"> level spell) (20)Daily III Item (3</t>
    </r>
    <r>
      <rPr>
        <vertAlign val="superscript"/>
        <sz val="7"/>
        <color indexed="8"/>
        <rFont val="Arial"/>
        <family val="2"/>
        <charset val="1"/>
      </rPr>
      <t>rd</t>
    </r>
    <r>
      <rPr>
        <sz val="7"/>
        <color indexed="8"/>
        <rFont val="Arial"/>
        <family val="2"/>
        <charset val="1"/>
      </rPr>
      <t xml:space="preserve"> level spell) (20)Daily III Item (3</t>
    </r>
    <r>
      <rPr>
        <vertAlign val="superscript"/>
        <sz val="7"/>
        <color indexed="8"/>
        <rFont val="Arial"/>
        <family val="2"/>
        <charset val="1"/>
      </rPr>
      <t>rd</t>
    </r>
    <r>
      <rPr>
        <sz val="7"/>
        <color indexed="8"/>
        <rFont val="Arial"/>
        <family val="2"/>
        <charset val="1"/>
      </rPr>
      <t xml:space="preserve"> level spell) (20)Daily III Item (3</t>
    </r>
    <r>
      <rPr>
        <vertAlign val="superscript"/>
        <sz val="7"/>
        <color indexed="8"/>
        <rFont val="Arial"/>
        <family val="2"/>
        <charset val="1"/>
      </rPr>
      <t>rd</t>
    </r>
    <r>
      <rPr>
        <sz val="7"/>
        <color indexed="8"/>
        <rFont val="Arial"/>
        <family val="2"/>
        <charset val="1"/>
      </rPr>
      <t xml:space="preserve"> level spell) (20)Daily III Item (3</t>
    </r>
    <r>
      <rPr>
        <vertAlign val="superscript"/>
        <sz val="7"/>
        <color indexed="8"/>
        <rFont val="Arial"/>
        <family val="2"/>
        <charset val="1"/>
      </rPr>
      <t>rd</t>
    </r>
    <r>
      <rPr>
        <sz val="7"/>
        <color indexed="8"/>
        <rFont val="Arial"/>
        <family val="2"/>
        <charset val="1"/>
      </rPr>
      <t xml:space="preserve"> level spell) (20)Daily III Item (3</t>
    </r>
    <r>
      <rPr>
        <vertAlign val="superscript"/>
        <sz val="7"/>
        <color indexed="8"/>
        <rFont val="Arial"/>
        <family val="2"/>
        <charset val="1"/>
      </rPr>
      <t>rd</t>
    </r>
    <r>
      <rPr>
        <sz val="7"/>
        <color indexed="8"/>
        <rFont val="Arial"/>
        <family val="2"/>
        <charset val="1"/>
      </rPr>
      <t xml:space="preserve"> level spell) (20)Daily III Item (3</t>
    </r>
    <r>
      <rPr>
        <vertAlign val="superscript"/>
        <sz val="7"/>
        <color indexed="8"/>
        <rFont val="Arial"/>
        <family val="2"/>
        <charset val="1"/>
      </rPr>
      <t>rd</t>
    </r>
    <r>
      <rPr>
        <sz val="7"/>
        <color indexed="8"/>
        <rFont val="Arial"/>
        <family val="2"/>
        <charset val="1"/>
      </rPr>
      <t xml:space="preserve"> level spell) (20)Daily III Item (3</t>
    </r>
    <r>
      <rPr>
        <vertAlign val="superscript"/>
        <sz val="7"/>
        <color indexed="8"/>
        <rFont val="Arial"/>
        <family val="2"/>
        <charset val="1"/>
      </rPr>
      <t>rd</t>
    </r>
    <r>
      <rPr>
        <sz val="7"/>
        <color indexed="8"/>
        <rFont val="Arial"/>
        <family val="2"/>
        <charset val="1"/>
      </rPr>
      <t xml:space="preserve"> level spell) (20)Daily III Item (3</t>
    </r>
    <r>
      <rPr>
        <vertAlign val="superscript"/>
        <sz val="7"/>
        <color indexed="8"/>
        <rFont val="Arial"/>
        <family val="2"/>
        <charset val="1"/>
      </rPr>
      <t>rd</t>
    </r>
    <r>
      <rPr>
        <sz val="7"/>
        <color indexed="8"/>
        <rFont val="Arial"/>
        <family val="2"/>
        <charset val="1"/>
      </rPr>
      <t xml:space="preserve"> level spell) (20)Daily III Item (3</t>
    </r>
    <r>
      <rPr>
        <vertAlign val="superscript"/>
        <sz val="7"/>
        <color indexed="8"/>
        <rFont val="Arial"/>
        <family val="2"/>
        <charset val="1"/>
      </rPr>
      <t>rd</t>
    </r>
    <r>
      <rPr>
        <sz val="7"/>
        <color indexed="8"/>
        <rFont val="Arial"/>
        <family val="2"/>
        <charset val="1"/>
      </rPr>
      <t xml:space="preserve"> level spell) (20)Daily III Item (3</t>
    </r>
    <r>
      <rPr>
        <vertAlign val="superscript"/>
        <sz val="7"/>
        <color indexed="8"/>
        <rFont val="Arial"/>
        <family val="2"/>
        <charset val="1"/>
      </rPr>
      <t>rd</t>
    </r>
    <r>
      <rPr>
        <sz val="7"/>
        <color indexed="8"/>
        <rFont val="Arial"/>
        <family val="2"/>
        <charset val="1"/>
      </rPr>
      <t xml:space="preserve"> level spell) (20)Daily III Item (3</t>
    </r>
    <r>
      <rPr>
        <vertAlign val="superscript"/>
        <sz val="7"/>
        <color indexed="8"/>
        <rFont val="Arial"/>
        <family val="2"/>
        <charset val="1"/>
      </rPr>
      <t>rd</t>
    </r>
    <r>
      <rPr>
        <sz val="7"/>
        <color indexed="8"/>
        <rFont val="Arial"/>
        <family val="2"/>
        <charset val="1"/>
      </rPr>
      <t xml:space="preserve"> level spell) (20)</t>
    </r>
  </si>
  <si>
    <t>Religious rival (10)</t>
  </si>
  <si>
    <t>Leadership 2</t>
  </si>
  <si>
    <t>Proselytizing 2</t>
  </si>
  <si>
    <t>Administration 1</t>
  </si>
  <si>
    <t>At least 10 ranks in the Religion (-3 points)</t>
  </si>
  <si>
    <t>Missionary (L), CC</t>
  </si>
  <si>
    <t>Rival missionary (follows and destroys work) (30)</t>
  </si>
  <si>
    <t>Map of region (with historic notations) (30)</t>
  </si>
  <si>
    <t>Traveling companion/familiar (GM's choice) (20)</t>
  </si>
  <si>
    <t>Covenant with deity (yet to be fulfilled) (20)</t>
  </si>
  <si>
    <t>Artistic – Active CAT 0</t>
  </si>
  <si>
    <t>Tale Telling 1</t>
  </si>
  <si>
    <t>Communications CAT 4</t>
  </si>
  <si>
    <t>choice of up to two skills 5 (total)</t>
  </si>
  <si>
    <t>Influence CAT 6</t>
  </si>
  <si>
    <t>Culture Lore 2</t>
  </si>
  <si>
    <t>Region 3</t>
  </si>
  <si>
    <t>Foraging 1</t>
  </si>
  <si>
    <t>Survival 1</t>
  </si>
  <si>
    <t>Proselytizing 3</t>
  </si>
  <si>
    <t>Pilgrim (L), CC</t>
  </si>
  <si>
    <t>Weapon, +5 NM (50)</t>
  </si>
  <si>
    <t>Shield, +5 NM (40)</t>
  </si>
  <si>
    <t>Armour, +5 NM (30)</t>
  </si>
  <si>
    <t>Favor from a Ranger (30)</t>
  </si>
  <si>
    <t>Holy symbol, +5 spell casting (20)</t>
  </si>
  <si>
    <t>Map of region (with historic notations) (20)</t>
  </si>
  <si>
    <t>Protector (L), CC</t>
  </si>
  <si>
    <t>Weapon, +10 NM (50)</t>
  </si>
  <si>
    <t>Weapon, +5 NM (40)</t>
  </si>
  <si>
    <t>Armour, +5 NM (40)</t>
  </si>
  <si>
    <t>Shield, +5 NM (30)</t>
  </si>
  <si>
    <t>Charm, +5 protection against spesific creature (20)</t>
  </si>
  <si>
    <t>Enemies with a Summoner (10)</t>
  </si>
  <si>
    <t>Close friends with a Paladin (0)</t>
  </si>
  <si>
    <t>Armour – Medium CAT 1</t>
  </si>
  <si>
    <t>lore related to spesific creature 3</t>
  </si>
  <si>
    <t>The Hunter 2</t>
  </si>
  <si>
    <t>Weapon/Attack CAT A 2</t>
  </si>
  <si>
    <t>Weapon/Attack CAT B 1</t>
  </si>
  <si>
    <t>Templar (L), CC</t>
  </si>
  <si>
    <t>Armour, +10 NM (40)</t>
  </si>
  <si>
    <t>Shield, +10 NM (30)</t>
  </si>
  <si>
    <t>Promotion or award (30)</t>
  </si>
  <si>
    <t>Promotion or award (20)</t>
  </si>
  <si>
    <t>Armour – Medium CAT 2</t>
  </si>
  <si>
    <t>Armour – Heavy CAT 1</t>
  </si>
  <si>
    <t>Body Development 2</t>
  </si>
  <si>
    <t>Military Organisation 1</t>
  </si>
  <si>
    <t>Techical/Trade – Vocational CAT 0</t>
  </si>
  <si>
    <t>Tactics 1</t>
  </si>
  <si>
    <t>Theurgist (L), CC</t>
  </si>
  <si>
    <t>Daily I item (2nd level spell) (40)</t>
  </si>
  <si>
    <t>Weapon, +5 NM (30)</t>
  </si>
  <si>
    <t>Spell List – Own Realm Open list 0</t>
  </si>
  <si>
    <t>choice of Battlefield Healing or Holy Defenses 3</t>
  </si>
  <si>
    <t>First Aid 3</t>
  </si>
  <si>
    <t>Constitution, Intuition</t>
  </si>
  <si>
    <t>Witch (L), CC</t>
  </si>
  <si>
    <t>True Familiar (20)</t>
  </si>
  <si>
    <r>
      <t>d5 Potions, 3</t>
    </r>
    <r>
      <rPr>
        <vertAlign val="superscript"/>
        <sz val="7"/>
        <color indexed="8"/>
        <rFont val="Arial"/>
        <family val="2"/>
        <charset val="1"/>
      </rPr>
      <t>rd</t>
    </r>
    <r>
      <rPr>
        <sz val="7"/>
        <color indexed="8"/>
        <rFont val="Arial"/>
        <family val="2"/>
        <charset val="1"/>
      </rPr>
      <t xml:space="preserve"> level (50)d5 Potions, 3</t>
    </r>
    <r>
      <rPr>
        <vertAlign val="superscript"/>
        <sz val="7"/>
        <color indexed="8"/>
        <rFont val="Arial"/>
        <family val="2"/>
        <charset val="1"/>
      </rPr>
      <t>rd</t>
    </r>
    <r>
      <rPr>
        <sz val="7"/>
        <color indexed="8"/>
        <rFont val="Arial"/>
        <family val="2"/>
        <charset val="1"/>
      </rPr>
      <t xml:space="preserve"> level (50)d5 Potions, 3</t>
    </r>
    <r>
      <rPr>
        <vertAlign val="superscript"/>
        <sz val="7"/>
        <color indexed="8"/>
        <rFont val="Arial"/>
        <family val="2"/>
        <charset val="1"/>
      </rPr>
      <t>rd</t>
    </r>
    <r>
      <rPr>
        <sz val="7"/>
        <color indexed="8"/>
        <rFont val="Arial"/>
        <family val="2"/>
        <charset val="1"/>
      </rPr>
      <t xml:space="preserve"> level (50)d5 Potions, 3</t>
    </r>
    <r>
      <rPr>
        <vertAlign val="superscript"/>
        <sz val="7"/>
        <color indexed="8"/>
        <rFont val="Arial"/>
        <family val="2"/>
        <charset val="1"/>
      </rPr>
      <t>rd</t>
    </r>
    <r>
      <rPr>
        <sz val="7"/>
        <color indexed="8"/>
        <rFont val="Arial"/>
        <family val="2"/>
        <charset val="1"/>
      </rPr>
      <t xml:space="preserve"> level (50)d5 Potions, 3</t>
    </r>
    <r>
      <rPr>
        <vertAlign val="superscript"/>
        <sz val="7"/>
        <color indexed="8"/>
        <rFont val="Arial"/>
        <family val="2"/>
        <charset val="1"/>
      </rPr>
      <t>rd</t>
    </r>
    <r>
      <rPr>
        <sz val="7"/>
        <color indexed="8"/>
        <rFont val="Arial"/>
        <family val="2"/>
        <charset val="1"/>
      </rPr>
      <t xml:space="preserve"> level (50)d5 Potions, 3</t>
    </r>
    <r>
      <rPr>
        <vertAlign val="superscript"/>
        <sz val="7"/>
        <color indexed="8"/>
        <rFont val="Arial"/>
        <family val="2"/>
        <charset val="1"/>
      </rPr>
      <t>rd</t>
    </r>
    <r>
      <rPr>
        <sz val="7"/>
        <color indexed="8"/>
        <rFont val="Arial"/>
        <family val="2"/>
        <charset val="1"/>
      </rPr>
      <t xml:space="preserve"> level (50)d5 Potions, 3</t>
    </r>
    <r>
      <rPr>
        <vertAlign val="superscript"/>
        <sz val="7"/>
        <color indexed="8"/>
        <rFont val="Arial"/>
        <family val="2"/>
        <charset val="1"/>
      </rPr>
      <t>rd</t>
    </r>
    <r>
      <rPr>
        <sz val="7"/>
        <color indexed="8"/>
        <rFont val="Arial"/>
        <family val="2"/>
        <charset val="1"/>
      </rPr>
      <t xml:space="preserve"> level (50)d5 Potions, 3</t>
    </r>
    <r>
      <rPr>
        <vertAlign val="superscript"/>
        <sz val="7"/>
        <color indexed="8"/>
        <rFont val="Arial"/>
        <family val="2"/>
        <charset val="1"/>
      </rPr>
      <t>rd</t>
    </r>
    <r>
      <rPr>
        <sz val="7"/>
        <color indexed="8"/>
        <rFont val="Arial"/>
        <family val="2"/>
        <charset val="1"/>
      </rPr>
      <t xml:space="preserve"> level (50)d5 Potions, 3</t>
    </r>
    <r>
      <rPr>
        <vertAlign val="superscript"/>
        <sz val="7"/>
        <color indexed="8"/>
        <rFont val="Arial"/>
        <family val="2"/>
        <charset val="1"/>
      </rPr>
      <t>rd</t>
    </r>
    <r>
      <rPr>
        <sz val="7"/>
        <color indexed="8"/>
        <rFont val="Arial"/>
        <family val="2"/>
        <charset val="1"/>
      </rPr>
      <t xml:space="preserve"> level (50)d5 Potions, 3</t>
    </r>
    <r>
      <rPr>
        <vertAlign val="superscript"/>
        <sz val="7"/>
        <color indexed="8"/>
        <rFont val="Arial"/>
        <family val="2"/>
        <charset val="1"/>
      </rPr>
      <t>rd</t>
    </r>
    <r>
      <rPr>
        <sz val="7"/>
        <color indexed="8"/>
        <rFont val="Arial"/>
        <family val="2"/>
        <charset val="1"/>
      </rPr>
      <t xml:space="preserve"> level (50)d5 Potions, 3</t>
    </r>
    <r>
      <rPr>
        <vertAlign val="superscript"/>
        <sz val="7"/>
        <color indexed="8"/>
        <rFont val="Arial"/>
        <family val="2"/>
        <charset val="1"/>
      </rPr>
      <t>rd</t>
    </r>
    <r>
      <rPr>
        <sz val="7"/>
        <color indexed="8"/>
        <rFont val="Arial"/>
        <family val="2"/>
        <charset val="1"/>
      </rPr>
      <t xml:space="preserve"> level (50)d5 Potions, 3</t>
    </r>
    <r>
      <rPr>
        <vertAlign val="superscript"/>
        <sz val="7"/>
        <color indexed="8"/>
        <rFont val="Arial"/>
        <family val="2"/>
        <charset val="1"/>
      </rPr>
      <t>rd</t>
    </r>
    <r>
      <rPr>
        <sz val="7"/>
        <color indexed="8"/>
        <rFont val="Arial"/>
        <family val="2"/>
        <charset val="1"/>
      </rPr>
      <t xml:space="preserve"> level (50)d5 Potions, 3</t>
    </r>
    <r>
      <rPr>
        <vertAlign val="superscript"/>
        <sz val="7"/>
        <color indexed="8"/>
        <rFont val="Arial"/>
        <family val="2"/>
        <charset val="1"/>
      </rPr>
      <t>rd</t>
    </r>
    <r>
      <rPr>
        <sz val="7"/>
        <color indexed="8"/>
        <rFont val="Arial"/>
        <family val="2"/>
        <charset val="1"/>
      </rPr>
      <t xml:space="preserve"> level (50)d5 Potions, 3</t>
    </r>
    <r>
      <rPr>
        <vertAlign val="superscript"/>
        <sz val="7"/>
        <color indexed="8"/>
        <rFont val="Arial"/>
        <family val="2"/>
        <charset val="1"/>
      </rPr>
      <t>rd</t>
    </r>
    <r>
      <rPr>
        <sz val="7"/>
        <color indexed="8"/>
        <rFont val="Arial"/>
        <family val="2"/>
        <charset val="1"/>
      </rPr>
      <t xml:space="preserve"> level (50)d5 Potions, 3</t>
    </r>
    <r>
      <rPr>
        <vertAlign val="superscript"/>
        <sz val="7"/>
        <color indexed="8"/>
        <rFont val="Arial"/>
        <family val="2"/>
        <charset val="1"/>
      </rPr>
      <t>rd</t>
    </r>
    <r>
      <rPr>
        <sz val="7"/>
        <color indexed="8"/>
        <rFont val="Arial"/>
        <family val="2"/>
        <charset val="1"/>
      </rPr>
      <t xml:space="preserve"> level (50)d5 Potions, 3</t>
    </r>
    <r>
      <rPr>
        <vertAlign val="superscript"/>
        <sz val="7"/>
        <color indexed="8"/>
        <rFont val="Arial"/>
        <family val="2"/>
        <charset val="1"/>
      </rPr>
      <t>rd</t>
    </r>
    <r>
      <rPr>
        <sz val="7"/>
        <color indexed="8"/>
        <rFont val="Arial"/>
        <family val="2"/>
        <charset val="1"/>
      </rPr>
      <t xml:space="preserve"> level (50)</t>
    </r>
  </si>
  <si>
    <t>Book, +15 to Demon Lore (40)</t>
  </si>
  <si>
    <t>Book, +15 to one Lore – Magical skill (50)</t>
  </si>
  <si>
    <t>Favor from a lesser Demon (40)</t>
  </si>
  <si>
    <r>
      <t>Daily III Item (Candle, 3</t>
    </r>
    <r>
      <rPr>
        <vertAlign val="superscript"/>
        <sz val="7"/>
        <color indexed="8"/>
        <rFont val="Arial"/>
        <family val="2"/>
        <charset val="1"/>
      </rPr>
      <t>rd</t>
    </r>
    <r>
      <rPr>
        <sz val="7"/>
        <color indexed="8"/>
        <rFont val="Arial"/>
        <family val="2"/>
        <charset val="1"/>
      </rPr>
      <t xml:space="preserve"> level spell) (40)Daily III Item (Candle, 3</t>
    </r>
    <r>
      <rPr>
        <vertAlign val="superscript"/>
        <sz val="7"/>
        <color indexed="8"/>
        <rFont val="Arial"/>
        <family val="2"/>
        <charset val="1"/>
      </rPr>
      <t>rd</t>
    </r>
    <r>
      <rPr>
        <sz val="7"/>
        <color indexed="8"/>
        <rFont val="Arial"/>
        <family val="2"/>
        <charset val="1"/>
      </rPr>
      <t xml:space="preserve"> level spell) (40)Daily III Item (Candle, 3</t>
    </r>
    <r>
      <rPr>
        <vertAlign val="superscript"/>
        <sz val="7"/>
        <color indexed="8"/>
        <rFont val="Arial"/>
        <family val="2"/>
        <charset val="1"/>
      </rPr>
      <t>rd</t>
    </r>
    <r>
      <rPr>
        <sz val="7"/>
        <color indexed="8"/>
        <rFont val="Arial"/>
        <family val="2"/>
        <charset val="1"/>
      </rPr>
      <t xml:space="preserve"> level spell) (40)Daily III Item (Candle, 3</t>
    </r>
    <r>
      <rPr>
        <vertAlign val="superscript"/>
        <sz val="7"/>
        <color indexed="8"/>
        <rFont val="Arial"/>
        <family val="2"/>
        <charset val="1"/>
      </rPr>
      <t>rd</t>
    </r>
    <r>
      <rPr>
        <sz val="7"/>
        <color indexed="8"/>
        <rFont val="Arial"/>
        <family val="2"/>
        <charset val="1"/>
      </rPr>
      <t xml:space="preserve"> level spell) (40)Daily III Item (Candle, 3</t>
    </r>
    <r>
      <rPr>
        <vertAlign val="superscript"/>
        <sz val="7"/>
        <color indexed="8"/>
        <rFont val="Arial"/>
        <family val="2"/>
        <charset val="1"/>
      </rPr>
      <t>rd</t>
    </r>
    <r>
      <rPr>
        <sz val="7"/>
        <color indexed="8"/>
        <rFont val="Arial"/>
        <family val="2"/>
        <charset val="1"/>
      </rPr>
      <t xml:space="preserve"> level spell) (40)Daily III Item (Candle, 3</t>
    </r>
    <r>
      <rPr>
        <vertAlign val="superscript"/>
        <sz val="7"/>
        <color indexed="8"/>
        <rFont val="Arial"/>
        <family val="2"/>
        <charset val="1"/>
      </rPr>
      <t>rd</t>
    </r>
    <r>
      <rPr>
        <sz val="7"/>
        <color indexed="8"/>
        <rFont val="Arial"/>
        <family val="2"/>
        <charset val="1"/>
      </rPr>
      <t xml:space="preserve"> level spell) (40)Daily III Item (Candle, 3</t>
    </r>
    <r>
      <rPr>
        <vertAlign val="superscript"/>
        <sz val="7"/>
        <color indexed="8"/>
        <rFont val="Arial"/>
        <family val="2"/>
        <charset val="1"/>
      </rPr>
      <t>rd</t>
    </r>
    <r>
      <rPr>
        <sz val="7"/>
        <color indexed="8"/>
        <rFont val="Arial"/>
        <family val="2"/>
        <charset val="1"/>
      </rPr>
      <t xml:space="preserve"> level spell) (40)Daily III Item (Candle, 3</t>
    </r>
    <r>
      <rPr>
        <vertAlign val="superscript"/>
        <sz val="7"/>
        <color indexed="8"/>
        <rFont val="Arial"/>
        <family val="2"/>
        <charset val="1"/>
      </rPr>
      <t>rd</t>
    </r>
    <r>
      <rPr>
        <sz val="7"/>
        <color indexed="8"/>
        <rFont val="Arial"/>
        <family val="2"/>
        <charset val="1"/>
      </rPr>
      <t xml:space="preserve"> level spell) (40)Daily III Item (Candle, 3</t>
    </r>
    <r>
      <rPr>
        <vertAlign val="superscript"/>
        <sz val="7"/>
        <color indexed="8"/>
        <rFont val="Arial"/>
        <family val="2"/>
        <charset val="1"/>
      </rPr>
      <t>rd</t>
    </r>
    <r>
      <rPr>
        <sz val="7"/>
        <color indexed="8"/>
        <rFont val="Arial"/>
        <family val="2"/>
        <charset val="1"/>
      </rPr>
      <t xml:space="preserve"> level spell) (40)Daily III Item (Candle, 3</t>
    </r>
    <r>
      <rPr>
        <vertAlign val="superscript"/>
        <sz val="7"/>
        <color indexed="8"/>
        <rFont val="Arial"/>
        <family val="2"/>
        <charset val="1"/>
      </rPr>
      <t>rd</t>
    </r>
    <r>
      <rPr>
        <sz val="7"/>
        <color indexed="8"/>
        <rFont val="Arial"/>
        <family val="2"/>
        <charset val="1"/>
      </rPr>
      <t xml:space="preserve"> level spell) (40)Daily III Item (Candle, 3</t>
    </r>
    <r>
      <rPr>
        <vertAlign val="superscript"/>
        <sz val="7"/>
        <color indexed="8"/>
        <rFont val="Arial"/>
        <family val="2"/>
        <charset val="1"/>
      </rPr>
      <t>rd</t>
    </r>
    <r>
      <rPr>
        <sz val="7"/>
        <color indexed="8"/>
        <rFont val="Arial"/>
        <family val="2"/>
        <charset val="1"/>
      </rPr>
      <t xml:space="preserve"> level spell) (40)Daily III Item (Candle, 3</t>
    </r>
    <r>
      <rPr>
        <vertAlign val="superscript"/>
        <sz val="7"/>
        <color indexed="8"/>
        <rFont val="Arial"/>
        <family val="2"/>
        <charset val="1"/>
      </rPr>
      <t>rd</t>
    </r>
    <r>
      <rPr>
        <sz val="7"/>
        <color indexed="8"/>
        <rFont val="Arial"/>
        <family val="2"/>
        <charset val="1"/>
      </rPr>
      <t xml:space="preserve"> level spell) (40)Daily III Item (Candle, 3</t>
    </r>
    <r>
      <rPr>
        <vertAlign val="superscript"/>
        <sz val="7"/>
        <color indexed="8"/>
        <rFont val="Arial"/>
        <family val="2"/>
        <charset val="1"/>
      </rPr>
      <t>rd</t>
    </r>
    <r>
      <rPr>
        <sz val="7"/>
        <color indexed="8"/>
        <rFont val="Arial"/>
        <family val="2"/>
        <charset val="1"/>
      </rPr>
      <t xml:space="preserve"> level spell) (40)Daily III Item (Candle, 3</t>
    </r>
    <r>
      <rPr>
        <vertAlign val="superscript"/>
        <sz val="7"/>
        <color indexed="8"/>
        <rFont val="Arial"/>
        <family val="2"/>
        <charset val="1"/>
      </rPr>
      <t>rd</t>
    </r>
    <r>
      <rPr>
        <sz val="7"/>
        <color indexed="8"/>
        <rFont val="Arial"/>
        <family val="2"/>
        <charset val="1"/>
      </rPr>
      <t xml:space="preserve"> level spell) (40)Daily III Item (Candle, 3</t>
    </r>
    <r>
      <rPr>
        <vertAlign val="superscript"/>
        <sz val="7"/>
        <color indexed="8"/>
        <rFont val="Arial"/>
        <family val="2"/>
        <charset val="1"/>
      </rPr>
      <t>rd</t>
    </r>
    <r>
      <rPr>
        <sz val="7"/>
        <color indexed="8"/>
        <rFont val="Arial"/>
        <family val="2"/>
        <charset val="1"/>
      </rPr>
      <t xml:space="preserve"> level spell) (40)Daily III Item (Candle, 3</t>
    </r>
    <r>
      <rPr>
        <vertAlign val="superscript"/>
        <sz val="7"/>
        <color indexed="8"/>
        <rFont val="Arial"/>
        <family val="2"/>
        <charset val="1"/>
      </rPr>
      <t>rd</t>
    </r>
    <r>
      <rPr>
        <sz val="7"/>
        <color indexed="8"/>
        <rFont val="Arial"/>
        <family val="2"/>
        <charset val="1"/>
      </rPr>
      <t xml:space="preserve"> level spell) (40)</t>
    </r>
  </si>
  <si>
    <t>Hunted by a Mythic (30)</t>
  </si>
  <si>
    <t>Covenant with Demon (yet to be fulfilled) (20)</t>
  </si>
  <si>
    <r>
      <t>Daily II Item (Candle, 3</t>
    </r>
    <r>
      <rPr>
        <vertAlign val="superscript"/>
        <sz val="7"/>
        <color indexed="8"/>
        <rFont val="Arial"/>
        <family val="2"/>
        <charset val="1"/>
      </rPr>
      <t>rd</t>
    </r>
    <r>
      <rPr>
        <sz val="7"/>
        <color indexed="8"/>
        <rFont val="Arial"/>
        <family val="2"/>
        <charset val="1"/>
      </rPr>
      <t xml:space="preserve"> level spell) (20)Daily II Item (Candle, 3</t>
    </r>
    <r>
      <rPr>
        <vertAlign val="superscript"/>
        <sz val="7"/>
        <color indexed="8"/>
        <rFont val="Arial"/>
        <family val="2"/>
        <charset val="1"/>
      </rPr>
      <t>rd</t>
    </r>
    <r>
      <rPr>
        <sz val="7"/>
        <color indexed="8"/>
        <rFont val="Arial"/>
        <family val="2"/>
        <charset val="1"/>
      </rPr>
      <t xml:space="preserve"> level spell) (20)Daily II Item (Candle, 3</t>
    </r>
    <r>
      <rPr>
        <vertAlign val="superscript"/>
        <sz val="7"/>
        <color indexed="8"/>
        <rFont val="Arial"/>
        <family val="2"/>
        <charset val="1"/>
      </rPr>
      <t>rd</t>
    </r>
    <r>
      <rPr>
        <sz val="7"/>
        <color indexed="8"/>
        <rFont val="Arial"/>
        <family val="2"/>
        <charset val="1"/>
      </rPr>
      <t xml:space="preserve"> level spell) (20)Daily II Item (Candle, 3</t>
    </r>
    <r>
      <rPr>
        <vertAlign val="superscript"/>
        <sz val="7"/>
        <color indexed="8"/>
        <rFont val="Arial"/>
        <family val="2"/>
        <charset val="1"/>
      </rPr>
      <t>rd</t>
    </r>
    <r>
      <rPr>
        <sz val="7"/>
        <color indexed="8"/>
        <rFont val="Arial"/>
        <family val="2"/>
        <charset val="1"/>
      </rPr>
      <t xml:space="preserve"> level spell) (20)Daily II Item (Candle, 3</t>
    </r>
    <r>
      <rPr>
        <vertAlign val="superscript"/>
        <sz val="7"/>
        <color indexed="8"/>
        <rFont val="Arial"/>
        <family val="2"/>
        <charset val="1"/>
      </rPr>
      <t>rd</t>
    </r>
    <r>
      <rPr>
        <sz val="7"/>
        <color indexed="8"/>
        <rFont val="Arial"/>
        <family val="2"/>
        <charset val="1"/>
      </rPr>
      <t xml:space="preserve"> level spell) (20)Daily II Item (Candle, 3</t>
    </r>
    <r>
      <rPr>
        <vertAlign val="superscript"/>
        <sz val="7"/>
        <color indexed="8"/>
        <rFont val="Arial"/>
        <family val="2"/>
        <charset val="1"/>
      </rPr>
      <t>rd</t>
    </r>
    <r>
      <rPr>
        <sz val="7"/>
        <color indexed="8"/>
        <rFont val="Arial"/>
        <family val="2"/>
        <charset val="1"/>
      </rPr>
      <t xml:space="preserve"> level spell) (20)Daily II Item (Candle, 3</t>
    </r>
    <r>
      <rPr>
        <vertAlign val="superscript"/>
        <sz val="7"/>
        <color indexed="8"/>
        <rFont val="Arial"/>
        <family val="2"/>
        <charset val="1"/>
      </rPr>
      <t>rd</t>
    </r>
    <r>
      <rPr>
        <sz val="7"/>
        <color indexed="8"/>
        <rFont val="Arial"/>
        <family val="2"/>
        <charset val="1"/>
      </rPr>
      <t xml:space="preserve"> level spell) (20)Daily II Item (Candle, 3</t>
    </r>
    <r>
      <rPr>
        <vertAlign val="superscript"/>
        <sz val="7"/>
        <color indexed="8"/>
        <rFont val="Arial"/>
        <family val="2"/>
        <charset val="1"/>
      </rPr>
      <t>rd</t>
    </r>
    <r>
      <rPr>
        <sz val="7"/>
        <color indexed="8"/>
        <rFont val="Arial"/>
        <family val="2"/>
        <charset val="1"/>
      </rPr>
      <t xml:space="preserve"> level spell) (20)Daily II Item (Candle, 3</t>
    </r>
    <r>
      <rPr>
        <vertAlign val="superscript"/>
        <sz val="7"/>
        <color indexed="8"/>
        <rFont val="Arial"/>
        <family val="2"/>
        <charset val="1"/>
      </rPr>
      <t>rd</t>
    </r>
    <r>
      <rPr>
        <sz val="7"/>
        <color indexed="8"/>
        <rFont val="Arial"/>
        <family val="2"/>
        <charset val="1"/>
      </rPr>
      <t xml:space="preserve"> level spell) (20)Daily II Item (Candle, 3</t>
    </r>
    <r>
      <rPr>
        <vertAlign val="superscript"/>
        <sz val="7"/>
        <color indexed="8"/>
        <rFont val="Arial"/>
        <family val="2"/>
        <charset val="1"/>
      </rPr>
      <t>rd</t>
    </r>
    <r>
      <rPr>
        <sz val="7"/>
        <color indexed="8"/>
        <rFont val="Arial"/>
        <family val="2"/>
        <charset val="1"/>
      </rPr>
      <t xml:space="preserve"> level spell) (20)Daily II Item (Candle, 3</t>
    </r>
    <r>
      <rPr>
        <vertAlign val="superscript"/>
        <sz val="7"/>
        <color indexed="8"/>
        <rFont val="Arial"/>
        <family val="2"/>
        <charset val="1"/>
      </rPr>
      <t>rd</t>
    </r>
    <r>
      <rPr>
        <sz val="7"/>
        <color indexed="8"/>
        <rFont val="Arial"/>
        <family val="2"/>
        <charset val="1"/>
      </rPr>
      <t xml:space="preserve"> level spell) (20)Daily II Item (Candle, 3</t>
    </r>
    <r>
      <rPr>
        <vertAlign val="superscript"/>
        <sz val="7"/>
        <color indexed="8"/>
        <rFont val="Arial"/>
        <family val="2"/>
        <charset val="1"/>
      </rPr>
      <t>rd</t>
    </r>
    <r>
      <rPr>
        <sz val="7"/>
        <color indexed="8"/>
        <rFont val="Arial"/>
        <family val="2"/>
        <charset val="1"/>
      </rPr>
      <t xml:space="preserve"> level spell) (20)Daily II Item (Candle, 3</t>
    </r>
    <r>
      <rPr>
        <vertAlign val="superscript"/>
        <sz val="7"/>
        <color indexed="8"/>
        <rFont val="Arial"/>
        <family val="2"/>
        <charset val="1"/>
      </rPr>
      <t>rd</t>
    </r>
    <r>
      <rPr>
        <sz val="7"/>
        <color indexed="8"/>
        <rFont val="Arial"/>
        <family val="2"/>
        <charset val="1"/>
      </rPr>
      <t xml:space="preserve"> level spell) (20)Daily II Item (Candle, 3</t>
    </r>
    <r>
      <rPr>
        <vertAlign val="superscript"/>
        <sz val="7"/>
        <color indexed="8"/>
        <rFont val="Arial"/>
        <family val="2"/>
        <charset val="1"/>
      </rPr>
      <t>rd</t>
    </r>
    <r>
      <rPr>
        <sz val="7"/>
        <color indexed="8"/>
        <rFont val="Arial"/>
        <family val="2"/>
        <charset val="1"/>
      </rPr>
      <t xml:space="preserve"> level spell) (20)Daily II Item (Candle, 3</t>
    </r>
    <r>
      <rPr>
        <vertAlign val="superscript"/>
        <sz val="7"/>
        <color indexed="8"/>
        <rFont val="Arial"/>
        <family val="2"/>
        <charset val="1"/>
      </rPr>
      <t>rd</t>
    </r>
    <r>
      <rPr>
        <sz val="7"/>
        <color indexed="8"/>
        <rFont val="Arial"/>
        <family val="2"/>
        <charset val="1"/>
      </rPr>
      <t xml:space="preserve"> level spell) (20)Daily II Item (Candle, 3</t>
    </r>
    <r>
      <rPr>
        <vertAlign val="superscript"/>
        <sz val="7"/>
        <color indexed="8"/>
        <rFont val="Arial"/>
        <family val="2"/>
        <charset val="1"/>
      </rPr>
      <t>rd</t>
    </r>
    <r>
      <rPr>
        <sz val="7"/>
        <color indexed="8"/>
        <rFont val="Arial"/>
        <family val="2"/>
        <charset val="1"/>
      </rPr>
      <t xml:space="preserve"> level spell) (20)</t>
    </r>
  </si>
  <si>
    <r>
      <t>d5 Potions, 2</t>
    </r>
    <r>
      <rPr>
        <vertAlign val="superscript"/>
        <sz val="7"/>
        <color indexed="8"/>
        <rFont val="Arial"/>
        <family val="2"/>
        <charset val="1"/>
      </rPr>
      <t>nd</t>
    </r>
    <r>
      <rPr>
        <sz val="7"/>
        <color indexed="8"/>
        <rFont val="Arial"/>
        <family val="2"/>
        <charset val="1"/>
      </rPr>
      <t xml:space="preserve"> level (0)d5 Potions, 2</t>
    </r>
    <r>
      <rPr>
        <vertAlign val="superscript"/>
        <sz val="7"/>
        <color indexed="8"/>
        <rFont val="Arial"/>
        <family val="2"/>
        <charset val="1"/>
      </rPr>
      <t>nd</t>
    </r>
    <r>
      <rPr>
        <sz val="7"/>
        <color indexed="8"/>
        <rFont val="Arial"/>
        <family val="2"/>
        <charset val="1"/>
      </rPr>
      <t xml:space="preserve"> level (0)d5 Potions, 2</t>
    </r>
    <r>
      <rPr>
        <vertAlign val="superscript"/>
        <sz val="7"/>
        <color indexed="8"/>
        <rFont val="Arial"/>
        <family val="2"/>
        <charset val="1"/>
      </rPr>
      <t>nd</t>
    </r>
    <r>
      <rPr>
        <sz val="7"/>
        <color indexed="8"/>
        <rFont val="Arial"/>
        <family val="2"/>
        <charset val="1"/>
      </rPr>
      <t xml:space="preserve"> level (0)d5 Potions, 2</t>
    </r>
    <r>
      <rPr>
        <vertAlign val="superscript"/>
        <sz val="7"/>
        <color indexed="8"/>
        <rFont val="Arial"/>
        <family val="2"/>
        <charset val="1"/>
      </rPr>
      <t>nd</t>
    </r>
    <r>
      <rPr>
        <sz val="7"/>
        <color indexed="8"/>
        <rFont val="Arial"/>
        <family val="2"/>
        <charset val="1"/>
      </rPr>
      <t xml:space="preserve"> level (0)d5 Potions, 2</t>
    </r>
    <r>
      <rPr>
        <vertAlign val="superscript"/>
        <sz val="7"/>
        <color indexed="8"/>
        <rFont val="Arial"/>
        <family val="2"/>
        <charset val="1"/>
      </rPr>
      <t>nd</t>
    </r>
    <r>
      <rPr>
        <sz val="7"/>
        <color indexed="8"/>
        <rFont val="Arial"/>
        <family val="2"/>
        <charset val="1"/>
      </rPr>
      <t xml:space="preserve"> level (0)d5 Potions, 2</t>
    </r>
    <r>
      <rPr>
        <vertAlign val="superscript"/>
        <sz val="7"/>
        <color indexed="8"/>
        <rFont val="Arial"/>
        <family val="2"/>
        <charset val="1"/>
      </rPr>
      <t>nd</t>
    </r>
    <r>
      <rPr>
        <sz val="7"/>
        <color indexed="8"/>
        <rFont val="Arial"/>
        <family val="2"/>
        <charset val="1"/>
      </rPr>
      <t xml:space="preserve"> level (0)d5 Potions, 2</t>
    </r>
    <r>
      <rPr>
        <vertAlign val="superscript"/>
        <sz val="7"/>
        <color indexed="8"/>
        <rFont val="Arial"/>
        <family val="2"/>
        <charset val="1"/>
      </rPr>
      <t>nd</t>
    </r>
    <r>
      <rPr>
        <sz val="7"/>
        <color indexed="8"/>
        <rFont val="Arial"/>
        <family val="2"/>
        <charset val="1"/>
      </rPr>
      <t xml:space="preserve"> level (0)d5 Potions, 2</t>
    </r>
    <r>
      <rPr>
        <vertAlign val="superscript"/>
        <sz val="7"/>
        <color indexed="8"/>
        <rFont val="Arial"/>
        <family val="2"/>
        <charset val="1"/>
      </rPr>
      <t>nd</t>
    </r>
    <r>
      <rPr>
        <sz val="7"/>
        <color indexed="8"/>
        <rFont val="Arial"/>
        <family val="2"/>
        <charset val="1"/>
      </rPr>
      <t xml:space="preserve"> level (0)d5 Potions, 2</t>
    </r>
    <r>
      <rPr>
        <vertAlign val="superscript"/>
        <sz val="7"/>
        <color indexed="8"/>
        <rFont val="Arial"/>
        <family val="2"/>
        <charset val="1"/>
      </rPr>
      <t>nd</t>
    </r>
    <r>
      <rPr>
        <sz val="7"/>
        <color indexed="8"/>
        <rFont val="Arial"/>
        <family val="2"/>
        <charset val="1"/>
      </rPr>
      <t xml:space="preserve"> level (0)d5 Potions, 2</t>
    </r>
    <r>
      <rPr>
        <vertAlign val="superscript"/>
        <sz val="7"/>
        <color indexed="8"/>
        <rFont val="Arial"/>
        <family val="2"/>
        <charset val="1"/>
      </rPr>
      <t>nd</t>
    </r>
    <r>
      <rPr>
        <sz val="7"/>
        <color indexed="8"/>
        <rFont val="Arial"/>
        <family val="2"/>
        <charset val="1"/>
      </rPr>
      <t xml:space="preserve"> level (0)d5 Potions, 2</t>
    </r>
    <r>
      <rPr>
        <vertAlign val="superscript"/>
        <sz val="7"/>
        <color indexed="8"/>
        <rFont val="Arial"/>
        <family val="2"/>
        <charset val="1"/>
      </rPr>
      <t>nd</t>
    </r>
    <r>
      <rPr>
        <sz val="7"/>
        <color indexed="8"/>
        <rFont val="Arial"/>
        <family val="2"/>
        <charset val="1"/>
      </rPr>
      <t xml:space="preserve"> level (0)d5 Potions, 2</t>
    </r>
    <r>
      <rPr>
        <vertAlign val="superscript"/>
        <sz val="7"/>
        <color indexed="8"/>
        <rFont val="Arial"/>
        <family val="2"/>
        <charset val="1"/>
      </rPr>
      <t>nd</t>
    </r>
    <r>
      <rPr>
        <sz val="7"/>
        <color indexed="8"/>
        <rFont val="Arial"/>
        <family val="2"/>
        <charset val="1"/>
      </rPr>
      <t xml:space="preserve"> level (0)d5 Potions, 2</t>
    </r>
    <r>
      <rPr>
        <vertAlign val="superscript"/>
        <sz val="7"/>
        <color indexed="8"/>
        <rFont val="Arial"/>
        <family val="2"/>
        <charset val="1"/>
      </rPr>
      <t>nd</t>
    </r>
    <r>
      <rPr>
        <sz val="7"/>
        <color indexed="8"/>
        <rFont val="Arial"/>
        <family val="2"/>
        <charset val="1"/>
      </rPr>
      <t xml:space="preserve"> level (0)d5 Potions, 2</t>
    </r>
    <r>
      <rPr>
        <vertAlign val="superscript"/>
        <sz val="7"/>
        <color indexed="8"/>
        <rFont val="Arial"/>
        <family val="2"/>
        <charset val="1"/>
      </rPr>
      <t>nd</t>
    </r>
    <r>
      <rPr>
        <sz val="7"/>
        <color indexed="8"/>
        <rFont val="Arial"/>
        <family val="2"/>
        <charset val="1"/>
      </rPr>
      <t xml:space="preserve"> level (0)d5 Potions, 2</t>
    </r>
    <r>
      <rPr>
        <vertAlign val="superscript"/>
        <sz val="7"/>
        <color indexed="8"/>
        <rFont val="Arial"/>
        <family val="2"/>
        <charset val="1"/>
      </rPr>
      <t>nd</t>
    </r>
    <r>
      <rPr>
        <sz val="7"/>
        <color indexed="8"/>
        <rFont val="Arial"/>
        <family val="2"/>
        <charset val="1"/>
      </rPr>
      <t xml:space="preserve"> level (0)d5 Potions, 2</t>
    </r>
    <r>
      <rPr>
        <vertAlign val="superscript"/>
        <sz val="7"/>
        <color indexed="8"/>
        <rFont val="Arial"/>
        <family val="2"/>
        <charset val="1"/>
      </rPr>
      <t>nd</t>
    </r>
    <r>
      <rPr>
        <sz val="7"/>
        <color indexed="8"/>
        <rFont val="Arial"/>
        <family val="2"/>
        <charset val="1"/>
      </rPr>
      <t xml:space="preserve"> level (0)</t>
    </r>
  </si>
  <si>
    <t>Lore – Obscure CAT 4</t>
  </si>
  <si>
    <t>Demon/Devil Lore 3</t>
  </si>
  <si>
    <t>Artifact Lore 1</t>
  </si>
  <si>
    <t>Circle Lore 2</t>
  </si>
  <si>
    <t>Symbol Lore 1</t>
  </si>
  <si>
    <t>Warding Lore 1</t>
  </si>
  <si>
    <t>Magic Ritual 2</t>
  </si>
  <si>
    <t>Liquid/Gas Skills 2</t>
  </si>
  <si>
    <t>Nature Domination 3</t>
  </si>
  <si>
    <t>Beastmaster (L), MC</t>
  </si>
  <si>
    <t>Superior weather-resistant clothing (50)</t>
  </si>
  <si>
    <t>A loyal animal friend – a riding beast (60)</t>
  </si>
  <si>
    <t>Acquainted with other loners of the local wilderness (60)</t>
  </si>
  <si>
    <t>A loyal animal friend – a hunting animal (50)</t>
  </si>
  <si>
    <t>Cloak, +5 Hiding (40)</t>
  </si>
  <si>
    <t>Boots, +5 Stalking (40)</t>
  </si>
  <si>
    <t>A loyal animal friend – a flying creature (30)</t>
  </si>
  <si>
    <t>Close friends with a local wilderness loner (30)</t>
  </si>
  <si>
    <t>Outdoor – Animal CAT 4</t>
  </si>
  <si>
    <t>Animal Handling 2</t>
  </si>
  <si>
    <t>Animal Healing 2</t>
  </si>
  <si>
    <t>choice of Animal Training and/or Mastery 2 (total)</t>
  </si>
  <si>
    <t xml:space="preserve">Spells – Own Realm TP CAT 0 </t>
  </si>
  <si>
    <t>Animal Bonding spell list 3</t>
  </si>
  <si>
    <t>Subterfuge – Stealth CAT 1</t>
  </si>
  <si>
    <t>Charlatan (L), MC</t>
  </si>
  <si>
    <t>Desired reputation in the current town (40)</t>
  </si>
  <si>
    <t>Wanted for fraud and chicanery in another city (60)</t>
  </si>
  <si>
    <t>Fake ID, +30 Duping (40)</t>
  </si>
  <si>
    <t>Disguise kit +10NM (30)</t>
  </si>
  <si>
    <t>Fake ID, +15 Duping (40)</t>
  </si>
  <si>
    <t>A noble or influential patron in nearby city (20)</t>
  </si>
  <si>
    <t>Tools of the trade (0)</t>
  </si>
  <si>
    <t>Artistic – Active CAT 1</t>
  </si>
  <si>
    <t>Charades spell list 3</t>
  </si>
  <si>
    <t>Disguise 2</t>
  </si>
  <si>
    <t>Trickery 1</t>
  </si>
  <si>
    <t>Dream Traveller (L), MC</t>
  </si>
  <si>
    <t>Book, +20 to Dream World Lore (40)</t>
  </si>
  <si>
    <t>Secret Knowledge of the real world (30)</t>
  </si>
  <si>
    <t>Secret Knowledge of the real world's future (30)</t>
  </si>
  <si>
    <t>Familiar with a sanctuary in the Dream World (30)</t>
  </si>
  <si>
    <t>Friends with a dream world entity (20)</t>
  </si>
  <si>
    <t>Enemies with a dream world entity (20)</t>
  </si>
  <si>
    <t>Book, +10 to Dream World Lore (0)</t>
  </si>
  <si>
    <t>Awareness – Senses CAT 2</t>
  </si>
  <si>
    <t>Time Sense 2</t>
  </si>
  <si>
    <t>Dream Lore 2</t>
  </si>
  <si>
    <t>Dream World Lore 4</t>
  </si>
  <si>
    <t>Self Control CAT 2</t>
  </si>
  <si>
    <t>Sleep Trance 2</t>
  </si>
  <si>
    <t>Dream Travel spell list 3</t>
  </si>
  <si>
    <t>Dreamweaver (L), MC</t>
  </si>
  <si>
    <t>d10 stored daydream patterns (50)</t>
  </si>
  <si>
    <t>d10 stored normal dream patterns (50)</t>
  </si>
  <si>
    <t>d5 stored nightmare patterns (20)</t>
  </si>
  <si>
    <t>d10 stored dreamer patterns of family/associates (GM choice) (20)</t>
  </si>
  <si>
    <t>Book on dreams, +10 Dream Lore (0)</t>
  </si>
  <si>
    <t>Dream Lore 3</t>
  </si>
  <si>
    <t>Self Control CAT 3</t>
  </si>
  <si>
    <t>Meditation 3</t>
  </si>
  <si>
    <t>Sleep Trance 3</t>
  </si>
  <si>
    <t>Dream Law 2</t>
  </si>
  <si>
    <t>Hermit (L), MC</t>
  </si>
  <si>
    <t>Bound by a vow (40)</t>
  </si>
  <si>
    <t>One week's worth of preserved foodstuffs (50)</t>
  </si>
  <si>
    <t>2d10 sp (50)</t>
  </si>
  <si>
    <t>A fine gift from passerby, 10d10 sp (20)</t>
  </si>
  <si>
    <t>An animal companion (GM choice) (40)</t>
  </si>
  <si>
    <t>Respected/feared/avoided by local populace (GM discretion) (40)</t>
  </si>
  <si>
    <t>Respected by a notable in region (20)</t>
  </si>
  <si>
    <t>Nothing particulary special (GM choice) (0)</t>
  </si>
  <si>
    <t>Philosophy or Religion 2</t>
  </si>
  <si>
    <t>Foraging 2</t>
  </si>
  <si>
    <t>Survival 2</t>
  </si>
  <si>
    <t>Weather Watching 2</t>
  </si>
  <si>
    <t>Self Discipline, Constitution</t>
  </si>
  <si>
    <t>Houri (L), MC</t>
  </si>
  <si>
    <t>High-quality, fashionable clothing (50)</t>
  </si>
  <si>
    <t>Jewelry (gift worth 10d10 sp) (50)</t>
  </si>
  <si>
    <t>Gift from former lover (5d10 sp) (50)</t>
  </si>
  <si>
    <t>Contacts in high society (40)</t>
  </si>
  <si>
    <t>Friends with a person of importance (30)</t>
  </si>
  <si>
    <t>Jealous rival (equal or higher status) (30)</t>
  </si>
  <si>
    <t>Spurned ex-lover (now an enemy) (20)</t>
  </si>
  <si>
    <t>Special token from former lover (0)</t>
  </si>
  <si>
    <t>choice of up to 2 skills 2 (total)</t>
  </si>
  <si>
    <t>Seduction 3</t>
  </si>
  <si>
    <t>one other skill 1</t>
  </si>
  <si>
    <t>Houri's Beguilement 2</t>
  </si>
  <si>
    <t>Houri's Kisses 2</t>
  </si>
  <si>
    <t>Mariner (L), MC</t>
  </si>
  <si>
    <t>Navigational instruments, +10 Navigation (40)</t>
  </si>
  <si>
    <t>Spyglass, +10 sight-based distance Awareness (50)</t>
  </si>
  <si>
    <t>Detailed chart of local maritime region (60)</t>
  </si>
  <si>
    <t>Detailed chart of distant maritime region (50)</t>
  </si>
  <si>
    <t>Charts of the known seas (40)</t>
  </si>
  <si>
    <t>Close friends with another seafarer of equal rank (40)</t>
  </si>
  <si>
    <t>Close friends with another seafarer of higher rank (30)</t>
  </si>
  <si>
    <t>Navigational instruments, +20 Navigation (20)</t>
  </si>
  <si>
    <t>Spyglass, +20 sight-based distance Awareness (20)</t>
  </si>
  <si>
    <t>Navigational Instruments (0)</t>
  </si>
  <si>
    <t>choice of Swimming and/or Rowing 2 (total)</t>
  </si>
  <si>
    <t>Drafting 1</t>
  </si>
  <si>
    <t>Leadership 1</t>
  </si>
  <si>
    <t>choice of Star-gazing and Weather Watching 1</t>
  </si>
  <si>
    <t>Sailing Mastery 2</t>
  </si>
  <si>
    <t>Sea Mastery 2</t>
  </si>
  <si>
    <t>Techincal/Trade – General CAT 2</t>
  </si>
  <si>
    <t>Sailing 3</t>
  </si>
  <si>
    <t>Boat Pilot 1</t>
  </si>
  <si>
    <t>Cartography 1</t>
  </si>
  <si>
    <t>Navigation 1</t>
  </si>
  <si>
    <t>Oracle (L), MC</t>
  </si>
  <si>
    <t>Knowledge of unexplained portent/prophecy concerning a person or place (50)</t>
  </si>
  <si>
    <t>Book, +10 to Dream lore and Divination Lore (60)</t>
  </si>
  <si>
    <t>Divinatory Apparatus, +10 to Divination (40)</t>
  </si>
  <si>
    <t>Astrological almanacs covering five years (40)</t>
  </si>
  <si>
    <t>Knows a secret about a person of importance from beyond local region (30)</t>
  </si>
  <si>
    <t>Divinatory Apparatus, +20 to Divination (30)</t>
  </si>
  <si>
    <t>Astrological almanacs covering ten years (30)</t>
  </si>
  <si>
    <t>Access to library/collection of historical, divinatory or astrological records (20)</t>
  </si>
  <si>
    <t>Astrological almanacs covering one year (0)</t>
  </si>
  <si>
    <t>choice of Tale Telling or Poetic Improvisation 2</t>
  </si>
  <si>
    <t>choice of up to two history/cultural skills 3 (total)</t>
  </si>
  <si>
    <t>choice of Dream Lore or Divination Lore 2</t>
  </si>
  <si>
    <t>Divination 3</t>
  </si>
  <si>
    <t>Spell Lists – Own realm, Open CAT 0 (may developed as base list)</t>
  </si>
  <si>
    <t>choice of Future Visions or Stalore 2</t>
  </si>
  <si>
    <t>Physician (L), MC</t>
  </si>
  <si>
    <t>Superior medical kit, +20 First Aid (40)</t>
  </si>
  <si>
    <t>Book, +10 to Diagnostics or First Aid (50)</t>
  </si>
  <si>
    <t>Book, +10 to Second Aid or Surgery (40)</t>
  </si>
  <si>
    <t>Friends with person of importance in local region (30)</t>
  </si>
  <si>
    <t>Owned a favour by person of importance in local region (30)</t>
  </si>
  <si>
    <t>Medical supplies, 2d10 gp (20)</t>
  </si>
  <si>
    <t>Prepared medications (10)</t>
  </si>
  <si>
    <t>Vow (moral obligation to patients) (0)</t>
  </si>
  <si>
    <t>Poison Lore 1</t>
  </si>
  <si>
    <t>Anatomy 2</t>
  </si>
  <si>
    <t>Medical Law 2</t>
  </si>
  <si>
    <t>Physicks 2</t>
  </si>
  <si>
    <t>Techincal/Trade – General CAT 3</t>
  </si>
  <si>
    <t>Tecnical/Trade – Professional CAT 0</t>
  </si>
  <si>
    <t>Diagnostics 2</t>
  </si>
  <si>
    <t>Second Aid 2</t>
  </si>
  <si>
    <t>Surgery 2</t>
  </si>
  <si>
    <t>Hypnosis 1</t>
  </si>
  <si>
    <t>Protege (L), MC</t>
  </si>
  <si>
    <t>Friends with an ally of mentor (30)</t>
  </si>
  <si>
    <t>A powerful enemy/rival (30)</t>
  </si>
  <si>
    <t>Book, +10 to a spesific lore (50)</t>
  </si>
  <si>
    <r>
      <t>Potion, one dose, 5</t>
    </r>
    <r>
      <rPr>
        <vertAlign val="superscript"/>
        <sz val="7"/>
        <color indexed="8"/>
        <rFont val="Arial"/>
        <family val="2"/>
        <charset val="1"/>
      </rPr>
      <t>th</t>
    </r>
    <r>
      <rPr>
        <sz val="7"/>
        <color indexed="8"/>
        <rFont val="Arial"/>
        <family val="2"/>
        <charset val="1"/>
      </rPr>
      <t xml:space="preserve"> level spell (40)Potion, one dose, 5</t>
    </r>
    <r>
      <rPr>
        <vertAlign val="superscript"/>
        <sz val="7"/>
        <color indexed="8"/>
        <rFont val="Arial"/>
        <family val="2"/>
        <charset val="1"/>
      </rPr>
      <t>th</t>
    </r>
    <r>
      <rPr>
        <sz val="7"/>
        <color indexed="8"/>
        <rFont val="Arial"/>
        <family val="2"/>
        <charset val="1"/>
      </rPr>
      <t xml:space="preserve"> level spell (40)Potion, one dose, 5</t>
    </r>
    <r>
      <rPr>
        <vertAlign val="superscript"/>
        <sz val="7"/>
        <color indexed="8"/>
        <rFont val="Arial"/>
        <family val="2"/>
        <charset val="1"/>
      </rPr>
      <t>th</t>
    </r>
    <r>
      <rPr>
        <sz val="7"/>
        <color indexed="8"/>
        <rFont val="Arial"/>
        <family val="2"/>
        <charset val="1"/>
      </rPr>
      <t xml:space="preserve"> level spell (40)Potion, one dose, 5</t>
    </r>
    <r>
      <rPr>
        <vertAlign val="superscript"/>
        <sz val="7"/>
        <color indexed="8"/>
        <rFont val="Arial"/>
        <family val="2"/>
        <charset val="1"/>
      </rPr>
      <t>th</t>
    </r>
    <r>
      <rPr>
        <sz val="7"/>
        <color indexed="8"/>
        <rFont val="Arial"/>
        <family val="2"/>
        <charset val="1"/>
      </rPr>
      <t xml:space="preserve"> level spell (40)Potion, one dose, 5</t>
    </r>
    <r>
      <rPr>
        <vertAlign val="superscript"/>
        <sz val="7"/>
        <color indexed="8"/>
        <rFont val="Arial"/>
        <family val="2"/>
        <charset val="1"/>
      </rPr>
      <t>th</t>
    </r>
    <r>
      <rPr>
        <sz val="7"/>
        <color indexed="8"/>
        <rFont val="Arial"/>
        <family val="2"/>
        <charset val="1"/>
      </rPr>
      <t xml:space="preserve"> level spell (40)Potion, one dose, 5</t>
    </r>
    <r>
      <rPr>
        <vertAlign val="superscript"/>
        <sz val="7"/>
        <color indexed="8"/>
        <rFont val="Arial"/>
        <family val="2"/>
        <charset val="1"/>
      </rPr>
      <t>th</t>
    </r>
    <r>
      <rPr>
        <sz val="7"/>
        <color indexed="8"/>
        <rFont val="Arial"/>
        <family val="2"/>
        <charset val="1"/>
      </rPr>
      <t xml:space="preserve"> level spell (40)Potion, one dose, 5</t>
    </r>
    <r>
      <rPr>
        <vertAlign val="superscript"/>
        <sz val="7"/>
        <color indexed="8"/>
        <rFont val="Arial"/>
        <family val="2"/>
        <charset val="1"/>
      </rPr>
      <t>th</t>
    </r>
    <r>
      <rPr>
        <sz val="7"/>
        <color indexed="8"/>
        <rFont val="Arial"/>
        <family val="2"/>
        <charset val="1"/>
      </rPr>
      <t xml:space="preserve"> level spell (40)Potion, one dose, 5</t>
    </r>
    <r>
      <rPr>
        <vertAlign val="superscript"/>
        <sz val="7"/>
        <color indexed="8"/>
        <rFont val="Arial"/>
        <family val="2"/>
        <charset val="1"/>
      </rPr>
      <t>th</t>
    </r>
    <r>
      <rPr>
        <sz val="7"/>
        <color indexed="8"/>
        <rFont val="Arial"/>
        <family val="2"/>
        <charset val="1"/>
      </rPr>
      <t xml:space="preserve"> level spell (40)Potion, one dose, 5</t>
    </r>
    <r>
      <rPr>
        <vertAlign val="superscript"/>
        <sz val="7"/>
        <color indexed="8"/>
        <rFont val="Arial"/>
        <family val="2"/>
        <charset val="1"/>
      </rPr>
      <t>th</t>
    </r>
    <r>
      <rPr>
        <sz val="7"/>
        <color indexed="8"/>
        <rFont val="Arial"/>
        <family val="2"/>
        <charset val="1"/>
      </rPr>
      <t xml:space="preserve"> level spell (40)Potion, one dose, 5</t>
    </r>
    <r>
      <rPr>
        <vertAlign val="superscript"/>
        <sz val="7"/>
        <color indexed="8"/>
        <rFont val="Arial"/>
        <family val="2"/>
        <charset val="1"/>
      </rPr>
      <t>th</t>
    </r>
    <r>
      <rPr>
        <sz val="7"/>
        <color indexed="8"/>
        <rFont val="Arial"/>
        <family val="2"/>
        <charset val="1"/>
      </rPr>
      <t xml:space="preserve"> level spell (40)Potion, one dose, 5</t>
    </r>
    <r>
      <rPr>
        <vertAlign val="superscript"/>
        <sz val="7"/>
        <color indexed="8"/>
        <rFont val="Arial"/>
        <family val="2"/>
        <charset val="1"/>
      </rPr>
      <t>th</t>
    </r>
    <r>
      <rPr>
        <sz val="7"/>
        <color indexed="8"/>
        <rFont val="Arial"/>
        <family val="2"/>
        <charset val="1"/>
      </rPr>
      <t xml:space="preserve"> level spell (40)Potion, one dose, 5</t>
    </r>
    <r>
      <rPr>
        <vertAlign val="superscript"/>
        <sz val="7"/>
        <color indexed="8"/>
        <rFont val="Arial"/>
        <family val="2"/>
        <charset val="1"/>
      </rPr>
      <t>th</t>
    </r>
    <r>
      <rPr>
        <sz val="7"/>
        <color indexed="8"/>
        <rFont val="Arial"/>
        <family val="2"/>
        <charset val="1"/>
      </rPr>
      <t xml:space="preserve"> level spell (40)Potion, one dose, 5</t>
    </r>
    <r>
      <rPr>
        <vertAlign val="superscript"/>
        <sz val="7"/>
        <color indexed="8"/>
        <rFont val="Arial"/>
        <family val="2"/>
        <charset val="1"/>
      </rPr>
      <t>th</t>
    </r>
    <r>
      <rPr>
        <sz val="7"/>
        <color indexed="8"/>
        <rFont val="Arial"/>
        <family val="2"/>
        <charset val="1"/>
      </rPr>
      <t xml:space="preserve"> level spell (40)Potion, one dose, 5</t>
    </r>
    <r>
      <rPr>
        <vertAlign val="superscript"/>
        <sz val="7"/>
        <color indexed="8"/>
        <rFont val="Arial"/>
        <family val="2"/>
        <charset val="1"/>
      </rPr>
      <t>th</t>
    </r>
    <r>
      <rPr>
        <sz val="7"/>
        <color indexed="8"/>
        <rFont val="Arial"/>
        <family val="2"/>
        <charset val="1"/>
      </rPr>
      <t xml:space="preserve"> level spell (40)Potion, one dose, 5</t>
    </r>
    <r>
      <rPr>
        <vertAlign val="superscript"/>
        <sz val="7"/>
        <color indexed="8"/>
        <rFont val="Arial"/>
        <family val="2"/>
        <charset val="1"/>
      </rPr>
      <t>th</t>
    </r>
    <r>
      <rPr>
        <sz val="7"/>
        <color indexed="8"/>
        <rFont val="Arial"/>
        <family val="2"/>
        <charset val="1"/>
      </rPr>
      <t xml:space="preserve"> level spell (40)Potion, one dose, 5</t>
    </r>
    <r>
      <rPr>
        <vertAlign val="superscript"/>
        <sz val="7"/>
        <color indexed="8"/>
        <rFont val="Arial"/>
        <family val="2"/>
        <charset val="1"/>
      </rPr>
      <t>th</t>
    </r>
    <r>
      <rPr>
        <sz val="7"/>
        <color indexed="8"/>
        <rFont val="Arial"/>
        <family val="2"/>
        <charset val="1"/>
      </rPr>
      <t xml:space="preserve"> level spell (40)</t>
    </r>
  </si>
  <si>
    <r>
      <t>Daily I item (3</t>
    </r>
    <r>
      <rPr>
        <vertAlign val="superscript"/>
        <sz val="7"/>
        <color indexed="8"/>
        <rFont val="Arial"/>
        <family val="2"/>
        <charset val="1"/>
      </rPr>
      <t>rd</t>
    </r>
    <r>
      <rPr>
        <sz val="7"/>
        <color indexed="8"/>
        <rFont val="Arial"/>
        <family val="2"/>
        <charset val="1"/>
      </rPr>
      <t xml:space="preserve"> level spell) (40)Daily I item (3</t>
    </r>
    <r>
      <rPr>
        <vertAlign val="superscript"/>
        <sz val="7"/>
        <color indexed="8"/>
        <rFont val="Arial"/>
        <family val="2"/>
        <charset val="1"/>
      </rPr>
      <t>rd</t>
    </r>
    <r>
      <rPr>
        <sz val="7"/>
        <color indexed="8"/>
        <rFont val="Arial"/>
        <family val="2"/>
        <charset val="1"/>
      </rPr>
      <t xml:space="preserve"> level spell) (40)Daily I item (3</t>
    </r>
    <r>
      <rPr>
        <vertAlign val="superscript"/>
        <sz val="7"/>
        <color indexed="8"/>
        <rFont val="Arial"/>
        <family val="2"/>
        <charset val="1"/>
      </rPr>
      <t>rd</t>
    </r>
    <r>
      <rPr>
        <sz val="7"/>
        <color indexed="8"/>
        <rFont val="Arial"/>
        <family val="2"/>
        <charset val="1"/>
      </rPr>
      <t xml:space="preserve"> level spell) (40)Daily I item (3</t>
    </r>
    <r>
      <rPr>
        <vertAlign val="superscript"/>
        <sz val="7"/>
        <color indexed="8"/>
        <rFont val="Arial"/>
        <family val="2"/>
        <charset val="1"/>
      </rPr>
      <t>rd</t>
    </r>
    <r>
      <rPr>
        <sz val="7"/>
        <color indexed="8"/>
        <rFont val="Arial"/>
        <family val="2"/>
        <charset val="1"/>
      </rPr>
      <t xml:space="preserve"> level spell) (40)Daily I item (3</t>
    </r>
    <r>
      <rPr>
        <vertAlign val="superscript"/>
        <sz val="7"/>
        <color indexed="8"/>
        <rFont val="Arial"/>
        <family val="2"/>
        <charset val="1"/>
      </rPr>
      <t>rd</t>
    </r>
    <r>
      <rPr>
        <sz val="7"/>
        <color indexed="8"/>
        <rFont val="Arial"/>
        <family val="2"/>
        <charset val="1"/>
      </rPr>
      <t xml:space="preserve"> level spell) (40)Daily I item (3</t>
    </r>
    <r>
      <rPr>
        <vertAlign val="superscript"/>
        <sz val="7"/>
        <color indexed="8"/>
        <rFont val="Arial"/>
        <family val="2"/>
        <charset val="1"/>
      </rPr>
      <t>rd</t>
    </r>
    <r>
      <rPr>
        <sz val="7"/>
        <color indexed="8"/>
        <rFont val="Arial"/>
        <family val="2"/>
        <charset val="1"/>
      </rPr>
      <t xml:space="preserve"> level spell) (40)Daily I item (3</t>
    </r>
    <r>
      <rPr>
        <vertAlign val="superscript"/>
        <sz val="7"/>
        <color indexed="8"/>
        <rFont val="Arial"/>
        <family val="2"/>
        <charset val="1"/>
      </rPr>
      <t>rd</t>
    </r>
    <r>
      <rPr>
        <sz val="7"/>
        <color indexed="8"/>
        <rFont val="Arial"/>
        <family val="2"/>
        <charset val="1"/>
      </rPr>
      <t xml:space="preserve"> level spell) (40)Daily I item (3</t>
    </r>
    <r>
      <rPr>
        <vertAlign val="superscript"/>
        <sz val="7"/>
        <color indexed="8"/>
        <rFont val="Arial"/>
        <family val="2"/>
        <charset val="1"/>
      </rPr>
      <t>rd</t>
    </r>
    <r>
      <rPr>
        <sz val="7"/>
        <color indexed="8"/>
        <rFont val="Arial"/>
        <family val="2"/>
        <charset val="1"/>
      </rPr>
      <t xml:space="preserve"> level spell) (40)Daily I item (3</t>
    </r>
    <r>
      <rPr>
        <vertAlign val="superscript"/>
        <sz val="7"/>
        <color indexed="8"/>
        <rFont val="Arial"/>
        <family val="2"/>
        <charset val="1"/>
      </rPr>
      <t>rd</t>
    </r>
    <r>
      <rPr>
        <sz val="7"/>
        <color indexed="8"/>
        <rFont val="Arial"/>
        <family val="2"/>
        <charset val="1"/>
      </rPr>
      <t xml:space="preserve"> level spell) (40)Daily I item (3</t>
    </r>
    <r>
      <rPr>
        <vertAlign val="superscript"/>
        <sz val="7"/>
        <color indexed="8"/>
        <rFont val="Arial"/>
        <family val="2"/>
        <charset val="1"/>
      </rPr>
      <t>rd</t>
    </r>
    <r>
      <rPr>
        <sz val="7"/>
        <color indexed="8"/>
        <rFont val="Arial"/>
        <family val="2"/>
        <charset val="1"/>
      </rPr>
      <t xml:space="preserve"> level spell) (40)Daily I item (3</t>
    </r>
    <r>
      <rPr>
        <vertAlign val="superscript"/>
        <sz val="7"/>
        <color indexed="8"/>
        <rFont val="Arial"/>
        <family val="2"/>
        <charset val="1"/>
      </rPr>
      <t>rd</t>
    </r>
    <r>
      <rPr>
        <sz val="7"/>
        <color indexed="8"/>
        <rFont val="Arial"/>
        <family val="2"/>
        <charset val="1"/>
      </rPr>
      <t xml:space="preserve"> level spell) (40)Daily I item (3</t>
    </r>
    <r>
      <rPr>
        <vertAlign val="superscript"/>
        <sz val="7"/>
        <color indexed="8"/>
        <rFont val="Arial"/>
        <family val="2"/>
        <charset val="1"/>
      </rPr>
      <t>rd</t>
    </r>
    <r>
      <rPr>
        <sz val="7"/>
        <color indexed="8"/>
        <rFont val="Arial"/>
        <family val="2"/>
        <charset val="1"/>
      </rPr>
      <t xml:space="preserve"> level spell) (40)Daily I item (3</t>
    </r>
    <r>
      <rPr>
        <vertAlign val="superscript"/>
        <sz val="7"/>
        <color indexed="8"/>
        <rFont val="Arial"/>
        <family val="2"/>
        <charset val="1"/>
      </rPr>
      <t>rd</t>
    </r>
    <r>
      <rPr>
        <sz val="7"/>
        <color indexed="8"/>
        <rFont val="Arial"/>
        <family val="2"/>
        <charset val="1"/>
      </rPr>
      <t xml:space="preserve"> level spell) (40)Daily I item (3</t>
    </r>
    <r>
      <rPr>
        <vertAlign val="superscript"/>
        <sz val="7"/>
        <color indexed="8"/>
        <rFont val="Arial"/>
        <family val="2"/>
        <charset val="1"/>
      </rPr>
      <t>rd</t>
    </r>
    <r>
      <rPr>
        <sz val="7"/>
        <color indexed="8"/>
        <rFont val="Arial"/>
        <family val="2"/>
        <charset val="1"/>
      </rPr>
      <t xml:space="preserve"> level spell) (40)Daily I item (3</t>
    </r>
    <r>
      <rPr>
        <vertAlign val="superscript"/>
        <sz val="7"/>
        <color indexed="8"/>
        <rFont val="Arial"/>
        <family val="2"/>
        <charset val="1"/>
      </rPr>
      <t>rd</t>
    </r>
    <r>
      <rPr>
        <sz val="7"/>
        <color indexed="8"/>
        <rFont val="Arial"/>
        <family val="2"/>
        <charset val="1"/>
      </rPr>
      <t xml:space="preserve"> level spell) (40)Daily I item (3</t>
    </r>
    <r>
      <rPr>
        <vertAlign val="superscript"/>
        <sz val="7"/>
        <color indexed="8"/>
        <rFont val="Arial"/>
        <family val="2"/>
        <charset val="1"/>
      </rPr>
      <t>rd</t>
    </r>
    <r>
      <rPr>
        <sz val="7"/>
        <color indexed="8"/>
        <rFont val="Arial"/>
        <family val="2"/>
        <charset val="1"/>
      </rPr>
      <t xml:space="preserve"> level spell) (40)</t>
    </r>
  </si>
  <si>
    <t>Secret knowledge (30)</t>
  </si>
  <si>
    <t>Lifelong obligation to mentor (0) (ALWAYS taken)</t>
  </si>
  <si>
    <t>Spell Mastery in one spell list 2</t>
  </si>
  <si>
    <t>choice of one other skill 2</t>
  </si>
  <si>
    <t>choice of 2 or 3 spell lists 6 (total)</t>
  </si>
  <si>
    <t>Realm stat</t>
  </si>
  <si>
    <t>Sage (L), MC</t>
  </si>
  <si>
    <t>Access to a library or other collection of manuscripts (70)</t>
  </si>
  <si>
    <t>Book, +10 to one lore (50)</t>
  </si>
  <si>
    <t>Friends with a library curator or archivist (50)</t>
  </si>
  <si>
    <t>Book, +10 to one General or Obscure Lore (40)</t>
  </si>
  <si>
    <t>Knowledge of an artifact (history, powers and/or location, GM choice) (40)</t>
  </si>
  <si>
    <t>Knowledge of a secret about the local region (GM descrition) (30)</t>
  </si>
  <si>
    <t>Consulted by one or more personages of importance in local region (20)</t>
  </si>
  <si>
    <t>Writing implements and a journal (0)</t>
  </si>
  <si>
    <t>choice of Scribing or Calligraphy 2</t>
  </si>
  <si>
    <t>Lore – Obscure CAT 2</t>
  </si>
  <si>
    <t>Delving (Open Ment.) 3</t>
  </si>
  <si>
    <t>Knowledge Mastery 3</t>
  </si>
  <si>
    <t>Advisor (L), CR</t>
  </si>
  <si>
    <t>Royal Contact (20)</t>
  </si>
  <si>
    <t>Royal Patron (30)</t>
  </si>
  <si>
    <t>Noble Contact (30)</t>
  </si>
  <si>
    <t>Noble Patron (50)</t>
  </si>
  <si>
    <t>Favour from Noble (30)</t>
  </si>
  <si>
    <t>Favour from an important person (30)</t>
  </si>
  <si>
    <t>Augmented heraldic sign (50)</t>
  </si>
  <si>
    <t>Finely crafted object, 5d10 sp (0)</t>
  </si>
  <si>
    <t>Choice of two Language Skills 2 (total)</t>
  </si>
  <si>
    <t>Signaling 1</t>
  </si>
  <si>
    <t>Culture Lore 1</t>
  </si>
  <si>
    <t>Administration 2</t>
  </si>
  <si>
    <t>Antagonist (L), CR</t>
  </si>
  <si>
    <t>Powerful enemy (of higher status/level) (30)</t>
  </si>
  <si>
    <t>Powerful rival (of higher status/level) (30)</t>
  </si>
  <si>
    <t>Fake ID, +20 Duping (25)</t>
  </si>
  <si>
    <t>Enemy (of equal or higher level) (15)</t>
  </si>
  <si>
    <t>Rival (of equal or higher level) (15)</t>
  </si>
  <si>
    <t>Finely crafted item, 5d10 sp (15)</t>
  </si>
  <si>
    <t>Favour from an important person (0)</t>
  </si>
  <si>
    <t>Mimicry 1</t>
  </si>
  <si>
    <t>Gambling 2</t>
  </si>
  <si>
    <t>Apotechary (V), CR</t>
  </si>
  <si>
    <t>Book +15 Poison Lore (50)</t>
  </si>
  <si>
    <t>Medical Kit, +5NM (40)</t>
  </si>
  <si>
    <t>d10 Concussion Herbs (30)</t>
  </si>
  <si>
    <t>d10 Circulatory Herbs (30)</t>
  </si>
  <si>
    <t>d10 Poison Herbs (30)</t>
  </si>
  <si>
    <t>d10 Intoxicants (30)</t>
  </si>
  <si>
    <t>d10 General Purpose herbs (0)</t>
  </si>
  <si>
    <t>Poison Lore 3</t>
  </si>
  <si>
    <t>Herb Lore 3</t>
  </si>
  <si>
    <t>Use Prepared Herbs 1</t>
  </si>
  <si>
    <t>Alchemy 1</t>
  </si>
  <si>
    <t>Use/Remove Poison 1</t>
  </si>
  <si>
    <t>Architect (V), CR</t>
  </si>
  <si>
    <t>Wealthy contact (50)</t>
  </si>
  <si>
    <t>Favour from an important person (40)</t>
  </si>
  <si>
    <t>Draft of an important structure (50)</t>
  </si>
  <si>
    <t>Close friends with work boss (0)</t>
  </si>
  <si>
    <t>Stone Lore 1</t>
  </si>
  <si>
    <t>Metal Lore 1</t>
  </si>
  <si>
    <t>Architecture 2</t>
  </si>
  <si>
    <t>choice of up to 2 skills from either Engineering and/or Labour Organisaion 2 (total)</t>
  </si>
  <si>
    <t>Archaeologist (V), CR</t>
  </si>
  <si>
    <t>Ancient map (30)</t>
  </si>
  <si>
    <t>Map of region, with historic notations (40)</t>
  </si>
  <si>
    <t>Book +10NM to spesific lore (50)</t>
  </si>
  <si>
    <t>Riding beast (0)</t>
  </si>
  <si>
    <t>Detect Traps 1</t>
  </si>
  <si>
    <t>choice of written languages 4 (total)</t>
  </si>
  <si>
    <t>choice of spoken languages 2 (total)</t>
  </si>
  <si>
    <t>choice of Culture Lores 2 (total)</t>
  </si>
  <si>
    <t>History 2</t>
  </si>
  <si>
    <t>Anthropology 1</t>
  </si>
  <si>
    <t>Appraisal 1</t>
  </si>
  <si>
    <t>Artificier (L), CR</t>
  </si>
  <si>
    <r>
      <t>Wand, up to 2</t>
    </r>
    <r>
      <rPr>
        <vertAlign val="superscript"/>
        <sz val="10"/>
        <color indexed="8"/>
        <rFont val="Arial"/>
        <family val="2"/>
        <charset val="1"/>
      </rPr>
      <t>nd</t>
    </r>
    <r>
      <rPr>
        <sz val="10"/>
        <color indexed="8"/>
        <rFont val="Arial"/>
        <family val="2"/>
        <charset val="1"/>
      </rPr>
      <t xml:space="preserve"> level spell (40)Wand, up to 2</t>
    </r>
    <r>
      <rPr>
        <vertAlign val="superscript"/>
        <sz val="10"/>
        <color indexed="8"/>
        <rFont val="Arial"/>
        <family val="2"/>
        <charset val="1"/>
      </rPr>
      <t>nd</t>
    </r>
    <r>
      <rPr>
        <sz val="10"/>
        <color indexed="8"/>
        <rFont val="Arial"/>
        <family val="2"/>
        <charset val="1"/>
      </rPr>
      <t xml:space="preserve"> level spell (40)Wand, up to 2</t>
    </r>
    <r>
      <rPr>
        <vertAlign val="superscript"/>
        <sz val="10"/>
        <color indexed="8"/>
        <rFont val="Arial"/>
        <family val="2"/>
        <charset val="1"/>
      </rPr>
      <t>nd</t>
    </r>
    <r>
      <rPr>
        <sz val="10"/>
        <color indexed="8"/>
        <rFont val="Arial"/>
        <family val="2"/>
        <charset val="1"/>
      </rPr>
      <t xml:space="preserve"> level spell (40)Wand, up to 2</t>
    </r>
    <r>
      <rPr>
        <vertAlign val="superscript"/>
        <sz val="10"/>
        <color indexed="8"/>
        <rFont val="Arial"/>
        <family val="2"/>
        <charset val="1"/>
      </rPr>
      <t>nd</t>
    </r>
    <r>
      <rPr>
        <sz val="10"/>
        <color indexed="8"/>
        <rFont val="Arial"/>
        <family val="2"/>
        <charset val="1"/>
      </rPr>
      <t xml:space="preserve"> level spell (40)Wand, up to 2</t>
    </r>
    <r>
      <rPr>
        <vertAlign val="superscript"/>
        <sz val="10"/>
        <color indexed="8"/>
        <rFont val="Arial"/>
        <family val="2"/>
        <charset val="1"/>
      </rPr>
      <t>nd</t>
    </r>
    <r>
      <rPr>
        <sz val="10"/>
        <color indexed="8"/>
        <rFont val="Arial"/>
        <family val="2"/>
        <charset val="1"/>
      </rPr>
      <t xml:space="preserve"> level spell (40)Wand, up to 2</t>
    </r>
    <r>
      <rPr>
        <vertAlign val="superscript"/>
        <sz val="10"/>
        <color indexed="8"/>
        <rFont val="Arial"/>
        <family val="2"/>
        <charset val="1"/>
      </rPr>
      <t>nd</t>
    </r>
    <r>
      <rPr>
        <sz val="10"/>
        <color indexed="8"/>
        <rFont val="Arial"/>
        <family val="2"/>
        <charset val="1"/>
      </rPr>
      <t xml:space="preserve"> level spell (40)Wand, up to 2</t>
    </r>
    <r>
      <rPr>
        <vertAlign val="superscript"/>
        <sz val="10"/>
        <color indexed="8"/>
        <rFont val="Arial"/>
        <family val="2"/>
        <charset val="1"/>
      </rPr>
      <t>nd</t>
    </r>
    <r>
      <rPr>
        <sz val="10"/>
        <color indexed="8"/>
        <rFont val="Arial"/>
        <family val="2"/>
        <charset val="1"/>
      </rPr>
      <t xml:space="preserve"> level spell (40)Wand, up to 2</t>
    </r>
    <r>
      <rPr>
        <vertAlign val="superscript"/>
        <sz val="10"/>
        <color indexed="8"/>
        <rFont val="Arial"/>
        <family val="2"/>
        <charset val="1"/>
      </rPr>
      <t>nd</t>
    </r>
    <r>
      <rPr>
        <sz val="10"/>
        <color indexed="8"/>
        <rFont val="Arial"/>
        <family val="2"/>
        <charset val="1"/>
      </rPr>
      <t xml:space="preserve"> level spell (40)Wand, up to 2</t>
    </r>
    <r>
      <rPr>
        <vertAlign val="superscript"/>
        <sz val="10"/>
        <color indexed="8"/>
        <rFont val="Arial"/>
        <family val="2"/>
        <charset val="1"/>
      </rPr>
      <t>nd</t>
    </r>
    <r>
      <rPr>
        <sz val="10"/>
        <color indexed="8"/>
        <rFont val="Arial"/>
        <family val="2"/>
        <charset val="1"/>
      </rPr>
      <t xml:space="preserve"> level spell (40)</t>
    </r>
  </si>
  <si>
    <r>
      <t>Daily III item (3</t>
    </r>
    <r>
      <rPr>
        <vertAlign val="superscript"/>
        <sz val="10"/>
        <color indexed="8"/>
        <rFont val="Arial"/>
        <family val="2"/>
        <charset val="1"/>
      </rPr>
      <t>rd</t>
    </r>
    <r>
      <rPr>
        <sz val="10"/>
        <color indexed="8"/>
        <rFont val="Arial"/>
        <family val="2"/>
        <charset val="1"/>
      </rPr>
      <t xml:space="preserve"> level spell) (30)Daily III item (3</t>
    </r>
    <r>
      <rPr>
        <vertAlign val="superscript"/>
        <sz val="10"/>
        <color indexed="8"/>
        <rFont val="Arial"/>
        <family val="2"/>
        <charset val="1"/>
      </rPr>
      <t>rd</t>
    </r>
    <r>
      <rPr>
        <sz val="10"/>
        <color indexed="8"/>
        <rFont val="Arial"/>
        <family val="2"/>
        <charset val="1"/>
      </rPr>
      <t xml:space="preserve"> level spell) (30)Daily III item (3</t>
    </r>
    <r>
      <rPr>
        <vertAlign val="superscript"/>
        <sz val="10"/>
        <color indexed="8"/>
        <rFont val="Arial"/>
        <family val="2"/>
        <charset val="1"/>
      </rPr>
      <t>rd</t>
    </r>
    <r>
      <rPr>
        <sz val="10"/>
        <color indexed="8"/>
        <rFont val="Arial"/>
        <family val="2"/>
        <charset val="1"/>
      </rPr>
      <t xml:space="preserve"> level spell) (30)Daily III item (3</t>
    </r>
    <r>
      <rPr>
        <vertAlign val="superscript"/>
        <sz val="10"/>
        <color indexed="8"/>
        <rFont val="Arial"/>
        <family val="2"/>
        <charset val="1"/>
      </rPr>
      <t>rd</t>
    </r>
    <r>
      <rPr>
        <sz val="10"/>
        <color indexed="8"/>
        <rFont val="Arial"/>
        <family val="2"/>
        <charset val="1"/>
      </rPr>
      <t xml:space="preserve"> level spell) (30)Daily III item (3</t>
    </r>
    <r>
      <rPr>
        <vertAlign val="superscript"/>
        <sz val="10"/>
        <color indexed="8"/>
        <rFont val="Arial"/>
        <family val="2"/>
        <charset val="1"/>
      </rPr>
      <t>rd</t>
    </r>
    <r>
      <rPr>
        <sz val="10"/>
        <color indexed="8"/>
        <rFont val="Arial"/>
        <family val="2"/>
        <charset val="1"/>
      </rPr>
      <t xml:space="preserve"> level spell) (30)Daily III item (3</t>
    </r>
    <r>
      <rPr>
        <vertAlign val="superscript"/>
        <sz val="10"/>
        <color indexed="8"/>
        <rFont val="Arial"/>
        <family val="2"/>
        <charset val="1"/>
      </rPr>
      <t>rd</t>
    </r>
    <r>
      <rPr>
        <sz val="10"/>
        <color indexed="8"/>
        <rFont val="Arial"/>
        <family val="2"/>
        <charset val="1"/>
      </rPr>
      <t xml:space="preserve"> level spell) (30)Daily III item (3</t>
    </r>
    <r>
      <rPr>
        <vertAlign val="superscript"/>
        <sz val="10"/>
        <color indexed="8"/>
        <rFont val="Arial"/>
        <family val="2"/>
        <charset val="1"/>
      </rPr>
      <t>rd</t>
    </r>
    <r>
      <rPr>
        <sz val="10"/>
        <color indexed="8"/>
        <rFont val="Arial"/>
        <family val="2"/>
        <charset val="1"/>
      </rPr>
      <t xml:space="preserve"> level spell) (30)Daily III item (3</t>
    </r>
    <r>
      <rPr>
        <vertAlign val="superscript"/>
        <sz val="10"/>
        <color indexed="8"/>
        <rFont val="Arial"/>
        <family val="2"/>
        <charset val="1"/>
      </rPr>
      <t>rd</t>
    </r>
    <r>
      <rPr>
        <sz val="10"/>
        <color indexed="8"/>
        <rFont val="Arial"/>
        <family val="2"/>
        <charset val="1"/>
      </rPr>
      <t xml:space="preserve"> level spell) (30)Daily III item (3</t>
    </r>
    <r>
      <rPr>
        <vertAlign val="superscript"/>
        <sz val="10"/>
        <color indexed="8"/>
        <rFont val="Arial"/>
        <family val="2"/>
        <charset val="1"/>
      </rPr>
      <t>rd</t>
    </r>
    <r>
      <rPr>
        <sz val="10"/>
        <color indexed="8"/>
        <rFont val="Arial"/>
        <family val="2"/>
        <charset val="1"/>
      </rPr>
      <t xml:space="preserve"> level spell) (30)</t>
    </r>
  </si>
  <si>
    <t>Book, +15 Item Lore (30)</t>
  </si>
  <si>
    <t>Daily II Item (2nd level spell) (40)</t>
  </si>
  <si>
    <r>
      <t>Single use item, up to 5</t>
    </r>
    <r>
      <rPr>
        <vertAlign val="superscript"/>
        <sz val="10"/>
        <color indexed="8"/>
        <rFont val="Arial"/>
        <family val="2"/>
        <charset val="1"/>
      </rPr>
      <t>th</t>
    </r>
    <r>
      <rPr>
        <sz val="10"/>
        <color indexed="8"/>
        <rFont val="Arial"/>
        <family val="2"/>
        <charset val="1"/>
      </rPr>
      <t xml:space="preserve"> level spell (15)Single use item, up to 5</t>
    </r>
    <r>
      <rPr>
        <vertAlign val="superscript"/>
        <sz val="10"/>
        <color indexed="8"/>
        <rFont val="Arial"/>
        <family val="2"/>
        <charset val="1"/>
      </rPr>
      <t>th</t>
    </r>
    <r>
      <rPr>
        <sz val="10"/>
        <color indexed="8"/>
        <rFont val="Arial"/>
        <family val="2"/>
        <charset val="1"/>
      </rPr>
      <t xml:space="preserve"> level spell (15)Single use item, up to 5</t>
    </r>
    <r>
      <rPr>
        <vertAlign val="superscript"/>
        <sz val="10"/>
        <color indexed="8"/>
        <rFont val="Arial"/>
        <family val="2"/>
        <charset val="1"/>
      </rPr>
      <t>th</t>
    </r>
    <r>
      <rPr>
        <sz val="10"/>
        <color indexed="8"/>
        <rFont val="Arial"/>
        <family val="2"/>
        <charset val="1"/>
      </rPr>
      <t xml:space="preserve"> level spell (15)Single use item, up to 5</t>
    </r>
    <r>
      <rPr>
        <vertAlign val="superscript"/>
        <sz val="10"/>
        <color indexed="8"/>
        <rFont val="Arial"/>
        <family val="2"/>
        <charset val="1"/>
      </rPr>
      <t>th</t>
    </r>
    <r>
      <rPr>
        <sz val="10"/>
        <color indexed="8"/>
        <rFont val="Arial"/>
        <family val="2"/>
        <charset val="1"/>
      </rPr>
      <t xml:space="preserve"> level spell (15)Single use item, up to 5</t>
    </r>
    <r>
      <rPr>
        <vertAlign val="superscript"/>
        <sz val="10"/>
        <color indexed="8"/>
        <rFont val="Arial"/>
        <family val="2"/>
        <charset val="1"/>
      </rPr>
      <t>th</t>
    </r>
    <r>
      <rPr>
        <sz val="10"/>
        <color indexed="8"/>
        <rFont val="Arial"/>
        <family val="2"/>
        <charset val="1"/>
      </rPr>
      <t xml:space="preserve"> level spell (15)Single use item, up to 5</t>
    </r>
    <r>
      <rPr>
        <vertAlign val="superscript"/>
        <sz val="10"/>
        <color indexed="8"/>
        <rFont val="Arial"/>
        <family val="2"/>
        <charset val="1"/>
      </rPr>
      <t>th</t>
    </r>
    <r>
      <rPr>
        <sz val="10"/>
        <color indexed="8"/>
        <rFont val="Arial"/>
        <family val="2"/>
        <charset val="1"/>
      </rPr>
      <t xml:space="preserve"> level spell (15)Single use item, up to 5</t>
    </r>
    <r>
      <rPr>
        <vertAlign val="superscript"/>
        <sz val="10"/>
        <color indexed="8"/>
        <rFont val="Arial"/>
        <family val="2"/>
        <charset val="1"/>
      </rPr>
      <t>th</t>
    </r>
    <r>
      <rPr>
        <sz val="10"/>
        <color indexed="8"/>
        <rFont val="Arial"/>
        <family val="2"/>
        <charset val="1"/>
      </rPr>
      <t xml:space="preserve"> level spell (15)Single use item, up to 5</t>
    </r>
    <r>
      <rPr>
        <vertAlign val="superscript"/>
        <sz val="10"/>
        <color indexed="8"/>
        <rFont val="Arial"/>
        <family val="2"/>
        <charset val="1"/>
      </rPr>
      <t>th</t>
    </r>
    <r>
      <rPr>
        <sz val="10"/>
        <color indexed="8"/>
        <rFont val="Arial"/>
        <family val="2"/>
        <charset val="1"/>
      </rPr>
      <t xml:space="preserve"> level spell (15)Single use item, up to 5</t>
    </r>
    <r>
      <rPr>
        <vertAlign val="superscript"/>
        <sz val="10"/>
        <color indexed="8"/>
        <rFont val="Arial"/>
        <family val="2"/>
        <charset val="1"/>
      </rPr>
      <t>th</t>
    </r>
    <r>
      <rPr>
        <sz val="10"/>
        <color indexed="8"/>
        <rFont val="Arial"/>
        <family val="2"/>
        <charset val="1"/>
      </rPr>
      <t xml:space="preserve"> level spell (15)</t>
    </r>
  </si>
  <si>
    <t>Daily I item (0)</t>
  </si>
  <si>
    <t>Artifact Lore 3</t>
  </si>
  <si>
    <t>Attunement 3</t>
  </si>
  <si>
    <t>Spells – Own Realm TP Cat 0</t>
  </si>
  <si>
    <t>Item Enhancements 3</t>
  </si>
  <si>
    <t>Techincal/Trade – Vocational 0</t>
  </si>
  <si>
    <t>Astronomer (L), CR</t>
  </si>
  <si>
    <t>Astrolabe, +15NM Astronomy/Navigation (50)</t>
  </si>
  <si>
    <t>Star chart, +10NM to Star-gazing (50)</t>
  </si>
  <si>
    <t>Lodestone, +50NM to Direction Sense (50)</t>
  </si>
  <si>
    <t>Spyglass, +10NM to Observation (30)</t>
  </si>
  <si>
    <t>Book, +10NM to Astronomy (40)</t>
  </si>
  <si>
    <t>Book, +10NM to Advanced Math (40)</t>
  </si>
  <si>
    <t>Book, +5NM to Star-gazing (40)</t>
  </si>
  <si>
    <t>Direction Sense 1</t>
  </si>
  <si>
    <t>Star-gazing 2</t>
  </si>
  <si>
    <t>Basic Math 2</t>
  </si>
  <si>
    <t>Advanced Math 1</t>
  </si>
  <si>
    <t>Astronomy 2</t>
  </si>
  <si>
    <t>Chaplain (V), CR</t>
  </si>
  <si>
    <t>Favour from Noble (50)</t>
  </si>
  <si>
    <t>Augmented heraldic sign (20)</t>
  </si>
  <si>
    <t>Choice of Singing or Tale Telling 1</t>
  </si>
  <si>
    <t>Cloistered Zealot (L), CR</t>
  </si>
  <si>
    <t>Book, +15NM to a spesific lore (30)</t>
  </si>
  <si>
    <t>Book, +15NM to a spesific lore (20)</t>
  </si>
  <si>
    <t>Public Speaking or Seduction 2</t>
  </si>
  <si>
    <t>Court Magician (L), CR</t>
  </si>
  <si>
    <t>Noble Patron (30)</t>
  </si>
  <si>
    <t>Staff, +10M to Spell Mastery (30)</t>
  </si>
  <si>
    <t>Exceptionally well-made craft (gift, 10d10 sp) (20)</t>
  </si>
  <si>
    <t>Outlandish clothing and ornamentation (0)</t>
  </si>
  <si>
    <t>Artistic – Active CAT 4</t>
  </si>
  <si>
    <t>choice of up to 2 skills 4 (total)</t>
  </si>
  <si>
    <t>Power Manipulation CAT 2</t>
  </si>
  <si>
    <t>Spell Mastery 2</t>
  </si>
  <si>
    <t>Choice of Lesser Illusions or Illusions 3 (total)</t>
  </si>
  <si>
    <t>Duelist (V), CR</t>
  </si>
  <si>
    <t>Shield +10 NM (30)</t>
  </si>
  <si>
    <t>Quickdraw 2</t>
  </si>
  <si>
    <t>Swashbuckling 2</t>
  </si>
  <si>
    <t>Disarm Foe (Armed) 2</t>
  </si>
  <si>
    <t>Weapon skill CAT (melee) 2</t>
  </si>
  <si>
    <t>Engineer (L), CR</t>
  </si>
  <si>
    <t>Favour from a noble (30)</t>
  </si>
  <si>
    <t>Drafting Tools, +15NM to Engineering (25)</t>
  </si>
  <si>
    <t>Book, +15 to Architecture (20)</t>
  </si>
  <si>
    <t>Favour from a wealthy person (15)</t>
  </si>
  <si>
    <t>Wealthy contact (15)</t>
  </si>
  <si>
    <t>Heraldic sign (10)</t>
  </si>
  <si>
    <t>Draft of an important structure (0)</t>
  </si>
  <si>
    <t>Engineering 2</t>
  </si>
  <si>
    <t>Labor Organisation 2</t>
  </si>
  <si>
    <t>Structure Warding 3</t>
  </si>
  <si>
    <t>Perimeter Warding 3</t>
  </si>
  <si>
    <t>Executioner (V), CR</t>
  </si>
  <si>
    <t>Battle axe, +10NM (30)</t>
  </si>
  <si>
    <t>Two-handed sword, +10NM (30)</t>
  </si>
  <si>
    <t>Torturing tools, +10NM (30)</t>
  </si>
  <si>
    <t>Favour from a local ruler (0)</t>
  </si>
  <si>
    <t>Athletic – Brawn CAT 3</t>
  </si>
  <si>
    <t>Power-striking 3</t>
  </si>
  <si>
    <t>Rope Mastery 2</t>
  </si>
  <si>
    <t>Weapon – 2-Handed CAT 1</t>
  </si>
  <si>
    <t>Grave Robber (V), CR</t>
  </si>
  <si>
    <t>Stolen jewelry worth 10d10 sp (30)</t>
  </si>
  <si>
    <t>Stolen jewelry worth 8d10 sp (40)</t>
  </si>
  <si>
    <t>Map of region, with notes of ancient battles and tombs (50)</t>
  </si>
  <si>
    <t>Disarm Trap kit, +10NM (30)</t>
  </si>
  <si>
    <t>Reliable fencing contacts (40)</t>
  </si>
  <si>
    <t>Lockpick kit, +5NM (30)</t>
  </si>
  <si>
    <t>Disarm Trap kit, +5NM (0)</t>
  </si>
  <si>
    <t>Locate Hidden 2</t>
  </si>
  <si>
    <t>Detect Trap 2</t>
  </si>
  <si>
    <t>Mapping 1</t>
  </si>
  <si>
    <t>Groom (V), CR</t>
  </si>
  <si>
    <t>Horse, heavy, +5 Riding and Mounted Combat (20)</t>
  </si>
  <si>
    <t>Saddle, +10NM (30)</t>
  </si>
  <si>
    <t>Horse, medium (30)</t>
  </si>
  <si>
    <t>Falcon (20)</t>
  </si>
  <si>
    <t>Horse, light (0)</t>
  </si>
  <si>
    <t>Region Lore 2</t>
  </si>
  <si>
    <t>Animal Training 2</t>
  </si>
  <si>
    <t>Riding 2</t>
  </si>
  <si>
    <t>Inventor (V), CR</t>
  </si>
  <si>
    <t>Mechanical Item, +10NM (50)</t>
  </si>
  <si>
    <t>Mechanical Item, +5NM (50)</t>
  </si>
  <si>
    <t>Draft for a new invention (40)</t>
  </si>
  <si>
    <t>Patron (20)</t>
  </si>
  <si>
    <t>Fine crafting tools, +15NM to spesific craft (40)</t>
  </si>
  <si>
    <t>Fine crafting tools, +10NM to spesific craft (30)</t>
  </si>
  <si>
    <t>Fine crafting tools, +5NM to spesific craft (0)</t>
  </si>
  <si>
    <t>Gimmicky 2</t>
  </si>
  <si>
    <t>Jester (V), CR</t>
  </si>
  <si>
    <t>Noble contact (30)</t>
  </si>
  <si>
    <t>Musical instrument, +10NM (30)</t>
  </si>
  <si>
    <t>Juggling balls, +10NM (30)</t>
  </si>
  <si>
    <t>Stilts, +10NM (30)</t>
  </si>
  <si>
    <t>Fine clothing, outrageous in design (0)</t>
  </si>
  <si>
    <t>Acting 2</t>
  </si>
  <si>
    <t>Juggling 2</t>
  </si>
  <si>
    <t>Stilt-walking 2</t>
  </si>
  <si>
    <t>Tumbling 2</t>
  </si>
  <si>
    <t>Duping 3</t>
  </si>
  <si>
    <t>Tools, +5NM to crafts skill (30)</t>
  </si>
  <si>
    <t>Tools, appropriate to a crafts skill (50)</t>
  </si>
  <si>
    <t>Friends with local bartender (40)</t>
  </si>
  <si>
    <t>Owed a favor from local noble (20)</t>
  </si>
  <si>
    <t>Enemies with local noble (20)</t>
  </si>
  <si>
    <t>Part of work gang, 3d10 workers (0)</t>
  </si>
  <si>
    <t>Athletic – Brawn CAT 2</t>
  </si>
  <si>
    <t>Magic Crafter (L), CR</t>
  </si>
  <si>
    <t>Daily I item (level 1 spell) (30)</t>
  </si>
  <si>
    <t>Good crafting tools, +10NM to spesific craft (50)</t>
  </si>
  <si>
    <t>Crafting tools, +5NM to spesific craft (0)</t>
  </si>
  <si>
    <t>Spells – Own Realm, Open List CAT 0</t>
  </si>
  <si>
    <t>choice of training package list 3</t>
  </si>
  <si>
    <t>Political (L), CR</t>
  </si>
  <si>
    <t>Know a secret about local noble (40)</t>
  </si>
  <si>
    <t>Assassin contacts (20)</t>
  </si>
  <si>
    <t>Favor from a noble (15)</t>
  </si>
  <si>
    <t>Know a secret about local lord (15)</t>
  </si>
  <si>
    <t>Rival (equal or higher level) (0)</t>
  </si>
  <si>
    <t>choice of up to 3 skills 4 (total)</t>
  </si>
  <si>
    <t>Interrogation 2</t>
  </si>
  <si>
    <t>Subterfuge – Stealt CAT 2</t>
  </si>
  <si>
    <t>choice of Stalking or Hiding 2 (total)</t>
  </si>
  <si>
    <t>Prophet (L), CR</t>
  </si>
  <si>
    <t>Animal friend appropriate to deity (40)</t>
  </si>
  <si>
    <t>Relic of the faith, +20 Influence skills, believers of the religion only (30)</t>
  </si>
  <si>
    <t>Low level clergy contacts (30)</t>
  </si>
  <si>
    <t>Religions rival (higher level) (20)</t>
  </si>
  <si>
    <t>Significant mark (odd colouration of eyes, or hair, birth mark etc) (10)</t>
  </si>
  <si>
    <t>Holy symbol, +5NM to influence to believers (0)</t>
  </si>
  <si>
    <t>Reality Awareness 1</t>
  </si>
  <si>
    <t>Spells – Own Real, TP CAT 0</t>
  </si>
  <si>
    <t>Detection Mastery (Open Channeling) 3</t>
  </si>
  <si>
    <t>Romantic (L), CR</t>
  </si>
  <si>
    <t>Exceptional quality clothing (50)</t>
  </si>
  <si>
    <t>Rival (equal or higher level) (30)</t>
  </si>
  <si>
    <t>Hunted by jilted lover (30)</t>
  </si>
  <si>
    <t>Special token from lost/past love (0)</t>
  </si>
  <si>
    <t>choice of up to three skills 4 (total)</t>
  </si>
  <si>
    <t>Urban skill CAT 2</t>
  </si>
  <si>
    <t>Contacting 2</t>
  </si>
  <si>
    <t>Servitor (V), CR</t>
  </si>
  <si>
    <t>Exceptional set of clothes (40)</t>
  </si>
  <si>
    <t>Knows a secret about a noble (20)</t>
  </si>
  <si>
    <t>Noble contact (0)</t>
  </si>
  <si>
    <t>Service 1</t>
  </si>
  <si>
    <t>Siege Engineer (V), CR</t>
  </si>
  <si>
    <t>Book, +10NM to Siege Engineering (50)</t>
  </si>
  <si>
    <t>Book, +10NM to Mechanition (40)</t>
  </si>
  <si>
    <t>Draft of superior siege engine</t>
  </si>
  <si>
    <t>Mercenary contacts (20)</t>
  </si>
  <si>
    <t>Tool kit, +10NM (0)</t>
  </si>
  <si>
    <t>Mechanition 1</t>
  </si>
  <si>
    <t>Mining 1</t>
  </si>
  <si>
    <t>Siege Engineering 3</t>
  </si>
  <si>
    <t>Weapon – Missile Artillery CAT 2</t>
  </si>
  <si>
    <t>Troubadour (L), CR</t>
  </si>
  <si>
    <t>Musical Instrument, +10NM (50)</t>
  </si>
  <si>
    <t>Weather-resistant clothing (50)</t>
  </si>
  <si>
    <t>Noble Contact (40)</t>
  </si>
  <si>
    <t>Riding Beast (0)</t>
  </si>
  <si>
    <t>Play Instrument 2</t>
  </si>
  <si>
    <t>Weather Watching 1</t>
  </si>
  <si>
    <t>Vizier (V), CR</t>
  </si>
  <si>
    <t>Royal Patron (20)</t>
  </si>
  <si>
    <t>Favour from royalty (30)</t>
  </si>
  <si>
    <t>Delving 3</t>
  </si>
  <si>
    <t>Athlete (V), FRP</t>
  </si>
  <si>
    <t>Equipment used in athletic specialty, +10NM (50)</t>
  </si>
  <si>
    <t>Sporting event victory medal, 2d10 sp (30)</t>
  </si>
  <si>
    <t>Competitive rival (50)</t>
  </si>
  <si>
    <t>d10 Loyal fans (20)</t>
  </si>
  <si>
    <t>Wealthy sponsor (20)</t>
  </si>
  <si>
    <t>Invitation to prestigious sporting event (0)</t>
  </si>
  <si>
    <t>Athletic – Gymnastics CAT 2</t>
  </si>
  <si>
    <t>Athletic Games from any Ath skill CAT 2</t>
  </si>
  <si>
    <t>choice of 1 skill from any Athletic CAT 2</t>
  </si>
  <si>
    <t>Cavalier (V), FRP</t>
  </si>
  <si>
    <t>Shield +5 NM (20)</t>
  </si>
  <si>
    <t>Affection of a married lady (30)</t>
  </si>
  <si>
    <t>Fine horse, +10 riding (0)</t>
  </si>
  <si>
    <t>Artistic skill CAT (choice) 1</t>
  </si>
  <si>
    <t>Seduction 1</t>
  </si>
  <si>
    <t>Jousting 1</t>
  </si>
  <si>
    <t>Weapon – Melee CAT 1</t>
  </si>
  <si>
    <t>Chamberlain (L), FRP</t>
  </si>
  <si>
    <t>Minor item related to office (10)</t>
  </si>
  <si>
    <t>Favor from royalty (30)</t>
  </si>
  <si>
    <t>Knowledge of a political secret or intrigue (50)</t>
  </si>
  <si>
    <t>Seal of office (0)</t>
  </si>
  <si>
    <t>First Aid or Operating Equipment 1</t>
  </si>
  <si>
    <t>Contancting 1</t>
  </si>
  <si>
    <t>Scrounging 1</t>
  </si>
  <si>
    <t>Escort (V), FRP</t>
  </si>
  <si>
    <t>Exceptional set of clothes (50)</t>
  </si>
  <si>
    <t>Favor from royalty (20)</t>
  </si>
  <si>
    <t>Contact in the underworld (40)</t>
  </si>
  <si>
    <t>Embarassing secret of a local noble (30)</t>
  </si>
  <si>
    <t>Instrument used w/artistic skill, +5NM (0)</t>
  </si>
  <si>
    <t>Duping 1</t>
  </si>
  <si>
    <t>Massage 2</t>
  </si>
  <si>
    <t>Farmer (L), FRP</t>
  </si>
  <si>
    <t>Superior Farm impl. (+5 pitch fork, NM) (20)</t>
  </si>
  <si>
    <t>d10 chickens (50)</t>
  </si>
  <si>
    <t>Cow (+5 herding) (50)</t>
  </si>
  <si>
    <t>Simple map of local area (50)</t>
  </si>
  <si>
    <t>Body Decelopment 2</t>
  </si>
  <si>
    <t>Fauna Lore 1</t>
  </si>
  <si>
    <t>Animal Herding 2</t>
  </si>
  <si>
    <t>Gladiator (L), FRP</t>
  </si>
  <si>
    <t>Trophy, worth 2d10 sp (10)</t>
  </si>
  <si>
    <t>Shield +10 NM (0)</t>
  </si>
  <si>
    <t>Weapon skill CAT #1 1</t>
  </si>
  <si>
    <t>Weapon skill CAT #3 1</t>
  </si>
  <si>
    <t>Martial Arts – Striking CAT 1</t>
  </si>
  <si>
    <t>Boxing 1</t>
  </si>
  <si>
    <t>Martial Arts – Sweeps CAT 1</t>
  </si>
  <si>
    <t>Wrestling 1</t>
  </si>
  <si>
    <t>Athletic – Gymnastics CAT 1</t>
  </si>
  <si>
    <t>Tumbling 1</t>
  </si>
  <si>
    <t>Sprinting 1</t>
  </si>
  <si>
    <t>Constitution, Strength</t>
  </si>
  <si>
    <t>Gossip (V), FRP</t>
  </si>
  <si>
    <t>Useful contacts with local innkeeper (30)</t>
  </si>
  <si>
    <t>Incriminating secret about someone else (50)</t>
  </si>
  <si>
    <t>Incriminating secret about someone else (30)</t>
  </si>
  <si>
    <t>Valuable secret about someone else (30)</t>
  </si>
  <si>
    <t>Reputation as a gossip (40)</t>
  </si>
  <si>
    <t>Large bar tab at local tavern (0)</t>
  </si>
  <si>
    <t>Tale Telling 2</t>
  </si>
  <si>
    <t>Sit. Aw. – Eavesdropping 1</t>
  </si>
  <si>
    <t>Lip Reading 1</t>
  </si>
  <si>
    <t>Guide (V), FRP</t>
  </si>
  <si>
    <t>Riding Beast (GM disc) (40)</t>
  </si>
  <si>
    <t>Compass, +10 Navigation &amp; Orienteering (30)</t>
  </si>
  <si>
    <t>Reinforced rope, 50ft (20)</t>
  </si>
  <si>
    <t>Detailed map of the region (0)</t>
  </si>
  <si>
    <t>Region Lore (local) 2</t>
  </si>
  <si>
    <t>Animal Handling 1</t>
  </si>
  <si>
    <t>Guild Member (V), FRP</t>
  </si>
  <si>
    <t>Tools, +10NM to crafts skill (50)</t>
  </si>
  <si>
    <t>Useful contacts with local tradesmen (50)</t>
  </si>
  <si>
    <t>Reputation as an honest and skilled craftsman (20)</t>
  </si>
  <si>
    <t>Work of primary trade/craft, worth 1d10 sp (30)</t>
  </si>
  <si>
    <t>Rival within the guild (30)</t>
  </si>
  <si>
    <t>Mission for guild master (0)</t>
  </si>
  <si>
    <t>Trading 1</t>
  </si>
  <si>
    <t>Trading Lore 1</t>
  </si>
  <si>
    <t>Henchman (V), FRP</t>
  </si>
  <si>
    <t>Favor from an important person (50)</t>
  </si>
  <si>
    <t>Favor from former employer (50)</t>
  </si>
  <si>
    <t>Good reputation among peers (50)</t>
  </si>
  <si>
    <t>Secret about current employer (50)</t>
  </si>
  <si>
    <t>Tools for primary job, +5NM (0)</t>
  </si>
  <si>
    <t>choice of up to two skills 2</t>
  </si>
  <si>
    <t>Sit. Aw. – Employer's Attention 1</t>
  </si>
  <si>
    <t>Service 2</t>
  </si>
  <si>
    <t>choice of one skill (Cooking, Sewing etc) 2</t>
  </si>
  <si>
    <t>Innkeeper (V), FRP</t>
  </si>
  <si>
    <t>Close friends with a merchant (50)</t>
  </si>
  <si>
    <t>Reputation as a good innkeeper (60)</t>
  </si>
  <si>
    <t>Useful city contacts (30)</t>
  </si>
  <si>
    <t>d10 Loyal customers (50)</t>
  </si>
  <si>
    <t>Large debt to moneylender or noble (40)</t>
  </si>
  <si>
    <t>Useful legends and adventure hooks (0)</t>
  </si>
  <si>
    <t>choice of Cooking or Brewing 1</t>
  </si>
  <si>
    <t>Librarian (V), FRP</t>
  </si>
  <si>
    <t>Book, +10NM to a spesific lore skill (50)</t>
  </si>
  <si>
    <t>Spectacles, +10NM Sense Awareness – Sight (40)</t>
  </si>
  <si>
    <t>Fine writing pen, +5NM Scribing (20)</t>
  </si>
  <si>
    <t>Favor from high ranking Magician (30)</t>
  </si>
  <si>
    <t>Book, +5NM to a spesific lore CAT (0)</t>
  </si>
  <si>
    <t>Science/Analytic – Basic CAT 3</t>
  </si>
  <si>
    <t>Lore – Techincal CAT 1</t>
  </si>
  <si>
    <t>Drowsing 1</t>
  </si>
  <si>
    <t>Mother (V), FRP</t>
  </si>
  <si>
    <t>Child (50)</t>
  </si>
  <si>
    <t>Child (30)</t>
  </si>
  <si>
    <t>Destined child (10)</t>
  </si>
  <si>
    <t>First aid kit, +10NM (20)</t>
  </si>
  <si>
    <t>Backpack/harness for carrying child (50)</t>
  </si>
  <si>
    <t>Favor from another mother in community (40)</t>
  </si>
  <si>
    <t>Child (0)</t>
  </si>
  <si>
    <t>Interrogation 1</t>
  </si>
  <si>
    <t>Sit. Aw. – Potential Threat (to Child) 2</t>
  </si>
  <si>
    <t>Cooking 1</t>
  </si>
  <si>
    <t>Noble (L), FRP</t>
  </si>
  <si>
    <t>Royal patron (30)</t>
  </si>
  <si>
    <t>Family jewes, worth d100sp (30)</t>
  </si>
  <si>
    <t>d5 Rival Siblings (40)</t>
  </si>
  <si>
    <t>Evil relative determined to destroy you (20)</t>
  </si>
  <si>
    <t>Poison Perception 1</t>
  </si>
  <si>
    <t>Riding (horse) 1</t>
  </si>
  <si>
    <t>Panhandler (V), FRP</t>
  </si>
  <si>
    <t>Useful underworld contacts (30)</t>
  </si>
  <si>
    <t>Tattered rags, +5NM Begging (40)</t>
  </si>
  <si>
    <t>Random bubonic disease (20)</t>
  </si>
  <si>
    <t>Make-up kit, +10NM Disguise (20)</t>
  </si>
  <si>
    <t>Small palm knife, +10NM pick pockets (30)</t>
  </si>
  <si>
    <t>Tin begging cup (0)</t>
  </si>
  <si>
    <t>Disguise 1</t>
  </si>
  <si>
    <t>Begging 2</t>
  </si>
  <si>
    <t>Mingling 1</t>
  </si>
  <si>
    <t>Culture Lore (own) 1</t>
  </si>
  <si>
    <t>Region Lore (local town) 1</t>
  </si>
  <si>
    <t>Pirate (L), FRP</t>
  </si>
  <si>
    <t>Stolen jewelry worth 5d10 sp (20)</t>
  </si>
  <si>
    <t>Peg leg, +5 Tale Telling (30)</t>
  </si>
  <si>
    <t>Parrot (60)</t>
  </si>
  <si>
    <t>Eye Patch, +5NM Interrogation (30)</t>
  </si>
  <si>
    <t>Treasure Map (0)</t>
  </si>
  <si>
    <t>Sailing 2</t>
  </si>
  <si>
    <t>Survival (Sea) 2</t>
  </si>
  <si>
    <t>Scribe (V), FRP</t>
  </si>
  <si>
    <t>Set of pens and inkwell, +10NM (30)</t>
  </si>
  <si>
    <t>Contacts in local church (30)</t>
  </si>
  <si>
    <t>Contacts among the nobility (40)</t>
  </si>
  <si>
    <t>Esoteric arcane knowledge (GM disc) (10)</t>
  </si>
  <si>
    <t>Set of pens and inkwell, +5NM (0)</t>
  </si>
  <si>
    <t>choice of Painting or Poetry 1</t>
  </si>
  <si>
    <t>Mnemonics 2</t>
  </si>
  <si>
    <t>Calligraphy 2</t>
  </si>
  <si>
    <t>Scribing 2</t>
  </si>
  <si>
    <t>Communications skill CAT 2</t>
  </si>
  <si>
    <t>choice of one written language 5</t>
  </si>
  <si>
    <t>Veterinarian (V), FRP</t>
  </si>
  <si>
    <t>Animal companion (50)</t>
  </si>
  <si>
    <t>Favor of local farmer (30)</t>
  </si>
  <si>
    <t>Enmity of local farmer (30)</t>
  </si>
  <si>
    <t>Medical kit, +5NM (0)</t>
  </si>
  <si>
    <t>Animal Healing 3</t>
  </si>
  <si>
    <t>Dragon Slayer (L)</t>
  </si>
  <si>
    <t>Special token/sigl (0)</t>
  </si>
  <si>
    <t>Lore - General CAT 0</t>
  </si>
  <si>
    <t>History: Dragon Slayers 2</t>
  </si>
  <si>
    <t>Lore – Obscure CAT 0</t>
  </si>
  <si>
    <t>Dragon Lore 3</t>
  </si>
  <si>
    <t>Survival: mountains 1</t>
  </si>
  <si>
    <t>Slayer Techniques – Shouts: Dragons 1</t>
  </si>
  <si>
    <t>Slayer Techniques – Strikes: Dragons 1</t>
  </si>
  <si>
    <t>Book +15 Herb Lore (50)</t>
  </si>
  <si>
    <t>Teacher who can provide access to either Physics (Mentalism) or Brewing (Essence) (20)</t>
  </si>
  <si>
    <t>Using/Removing Poison 1</t>
  </si>
  <si>
    <t>Apotechary 4</t>
  </si>
  <si>
    <t>Special religiuos token/sigil (0)</t>
  </si>
  <si>
    <t>Lore - General CAT 4</t>
  </si>
  <si>
    <t>spesific lore related to the cause 1</t>
  </si>
  <si>
    <t>Native language 2</t>
  </si>
  <si>
    <t>Priest of Animas</t>
  </si>
  <si>
    <t>8/8/8*</t>
  </si>
  <si>
    <t>6/6/6*</t>
  </si>
  <si>
    <t>Spells: Other Realm Training Pacate</t>
  </si>
  <si>
    <t>16/16</t>
  </si>
  <si>
    <t>12/12*</t>
  </si>
  <si>
    <t>8/8</t>
  </si>
  <si>
    <t>16/16*</t>
  </si>
  <si>
    <t>Spells: Arcane Own Base</t>
  </si>
  <si>
    <t>N/A*</t>
  </si>
  <si>
    <t>65*</t>
  </si>
  <si>
    <t>75*</t>
  </si>
  <si>
    <t>22*</t>
  </si>
  <si>
    <t>6/6*</t>
  </si>
  <si>
    <t>5/5*</t>
  </si>
  <si>
    <t>11/11</t>
  </si>
  <si>
    <t>55*</t>
  </si>
  <si>
    <t>50</t>
  </si>
  <si>
    <t>Shouts</t>
  </si>
  <si>
    <t>2/3/5/6/9</t>
  </si>
  <si>
    <t>2/3/4/6/9</t>
  </si>
  <si>
    <t>2/2/4/5/6</t>
  </si>
  <si>
    <t>1/2/2/3/5</t>
  </si>
  <si>
    <t>1/1/2/3/4</t>
  </si>
  <si>
    <t>2/3/6/6/9</t>
  </si>
  <si>
    <t>2/2/4/4/6</t>
  </si>
  <si>
    <t>1/1/2/2/3</t>
  </si>
  <si>
    <t>1/2/2/3/4</t>
  </si>
  <si>
    <t>2/4/5/8/12</t>
  </si>
  <si>
    <t>Strikes</t>
  </si>
  <si>
    <t>Singing 1</t>
  </si>
  <si>
    <t>Singing 2</t>
  </si>
  <si>
    <t>magic language 1</t>
  </si>
  <si>
    <t>magic language 2</t>
  </si>
  <si>
    <t>magic language 3</t>
  </si>
  <si>
    <t>BMI</t>
  </si>
  <si>
    <t>Build</t>
  </si>
  <si>
    <t>Common Man</t>
  </si>
  <si>
    <t>Uruk</t>
  </si>
  <si>
    <t>Half-Troll</t>
  </si>
  <si>
    <t>Half-Orc</t>
  </si>
  <si>
    <t>V. Severe UW</t>
  </si>
  <si>
    <t>Severe UW</t>
  </si>
  <si>
    <t>Underweight</t>
  </si>
  <si>
    <t>Overweight</t>
  </si>
  <si>
    <t>Obese</t>
  </si>
  <si>
    <t>Severely Obese</t>
  </si>
  <si>
    <t>pituus</t>
  </si>
  <si>
    <t>paino</t>
  </si>
  <si>
    <t>kg/cm</t>
  </si>
  <si>
    <t>feet</t>
  </si>
  <si>
    <t>inch</t>
  </si>
  <si>
    <t>lbs</t>
  </si>
  <si>
    <t>Painomuutos</t>
  </si>
  <si>
    <t>Peruspaino</t>
  </si>
  <si>
    <t>Painomuutos heitosta</t>
  </si>
  <si>
    <t>Painomuutos yht</t>
  </si>
  <si>
    <t>Paino yht</t>
  </si>
  <si>
    <t>orc</t>
  </si>
  <si>
    <t>race</t>
  </si>
  <si>
    <t>Base</t>
  </si>
  <si>
    <t>culture</t>
  </si>
  <si>
    <t>type</t>
  </si>
  <si>
    <t>Change</t>
  </si>
  <si>
    <t>jalat</t>
  </si>
  <si>
    <t>tuumat</t>
  </si>
  <si>
    <t>pituus cm</t>
  </si>
  <si>
    <t>kg/m</t>
  </si>
  <si>
    <t>+ tuuma</t>
  </si>
  <si>
    <t>painomuutos</t>
  </si>
  <si>
    <t>Description</t>
  </si>
  <si>
    <t>Type</t>
  </si>
  <si>
    <t>Special Training (NO LIMIT)</t>
  </si>
  <si>
    <t>Physical</t>
  </si>
  <si>
    <t>Acrobat</t>
  </si>
  <si>
    <t>Training, no limit</t>
  </si>
  <si>
    <t>Age</t>
  </si>
  <si>
    <t>Albino</t>
  </si>
  <si>
    <t>Adrenal Defense Training (minor)</t>
  </si>
  <si>
    <t>AD action is 30%</t>
  </si>
  <si>
    <t>Animal Bane</t>
  </si>
  <si>
    <t>Adrenal Defense Training (greater)</t>
  </si>
  <si>
    <t>AD action is 10%</t>
  </si>
  <si>
    <t>Anosmia</t>
  </si>
  <si>
    <t>Animal Handler</t>
  </si>
  <si>
    <t xml:space="preserve">+20 Fauna Lore and Outdoor Animals CAT. </t>
  </si>
  <si>
    <t>Blind</t>
  </si>
  <si>
    <t>+10 Artistic Group. One E-skill</t>
  </si>
  <si>
    <t>Breaker</t>
  </si>
  <si>
    <t>Assassin Training</t>
  </si>
  <si>
    <t>Cold Sensitive</t>
  </si>
  <si>
    <t>Athletic (Master</t>
  </si>
  <si>
    <t>Colour Blind</t>
  </si>
  <si>
    <t>Athletic (Spesialised)</t>
  </si>
  <si>
    <t>Common Allergy (minor)</t>
  </si>
  <si>
    <t>Deadly Training</t>
  </si>
  <si>
    <t>Common Allergy (major)</t>
  </si>
  <si>
    <t>Directed Weapons Master (Minor)</t>
  </si>
  <si>
    <t>Complete Kluz</t>
  </si>
  <si>
    <t>Crippled (minor)</t>
  </si>
  <si>
    <t>Disarm Skill</t>
  </si>
  <si>
    <t>Crippled (major)</t>
  </si>
  <si>
    <t>Elvish Training</t>
  </si>
  <si>
    <t>Crippled (greater)</t>
  </si>
  <si>
    <t>Exceptional Skill at Arms</t>
  </si>
  <si>
    <t>Deaf</t>
  </si>
  <si>
    <t>Fluent</t>
  </si>
  <si>
    <t>Deep Sleeper</t>
  </si>
  <si>
    <t>General Weapons Master (minor)</t>
  </si>
  <si>
    <t>Epileptic</t>
  </si>
  <si>
    <t>General Weapons Master (major)</t>
  </si>
  <si>
    <t>Eunuch</t>
  </si>
  <si>
    <t>Fragile Wrists</t>
  </si>
  <si>
    <t>Geographic Awareness</t>
  </si>
  <si>
    <t>Hard of Hearing</t>
  </si>
  <si>
    <t>Gymnastic Training</t>
  </si>
  <si>
    <t>Heat Sensitive</t>
  </si>
  <si>
    <t>Herbalist</t>
  </si>
  <si>
    <t>Hemophilia</t>
  </si>
  <si>
    <t>Inner Reserve (lesser)</t>
  </si>
  <si>
    <t>Inner Ear Problem</t>
  </si>
  <si>
    <t>Inner Reserve (minor)</t>
  </si>
  <si>
    <t>Lack of Range</t>
  </si>
  <si>
    <t>Inner Reserve (major)</t>
  </si>
  <si>
    <t>Locking Wrists</t>
  </si>
  <si>
    <t>Inner Reserve (greater)</t>
  </si>
  <si>
    <t>Loss of Vision</t>
  </si>
  <si>
    <t>Internal Clock</t>
  </si>
  <si>
    <t>Mute</t>
  </si>
  <si>
    <t>Judge of Angles</t>
  </si>
  <si>
    <t>Nose Bleeds</t>
  </si>
  <si>
    <t>Judge of Metal</t>
  </si>
  <si>
    <t>+20 Metal Lore, Metal Evaluation, Metal Crafts</t>
  </si>
  <si>
    <t>Not Graceful</t>
  </si>
  <si>
    <t>Judge of Stone</t>
  </si>
  <si>
    <t>+20 Stone Lore, Stone Evaluation, Stone Crafts</t>
  </si>
  <si>
    <t>Not Subtle</t>
  </si>
  <si>
    <t>Judge of Weaponry</t>
  </si>
  <si>
    <t>Off Balance</t>
  </si>
  <si>
    <t>Lightning Strike</t>
  </si>
  <si>
    <t>One Arm (major)</t>
  </si>
  <si>
    <t>Martial Arts Training (minor)</t>
  </si>
  <si>
    <t>One Arm (greater)</t>
  </si>
  <si>
    <t>Martial Arts Training (major)</t>
  </si>
  <si>
    <t>One Eye</t>
  </si>
  <si>
    <t>Martial Arts Training (greater)</t>
  </si>
  <si>
    <t>Pain Intolerant</t>
  </si>
  <si>
    <t>Medic</t>
  </si>
  <si>
    <t>+15 First Aid, Use Herbs, Second Aid, Surgery, Diagnostics</t>
  </si>
  <si>
    <t>Natural Archer</t>
  </si>
  <si>
    <t>Poor Eyesight (minor)</t>
  </si>
  <si>
    <t>Natural Facility With Armour</t>
  </si>
  <si>
    <t>Natural Horseman</t>
  </si>
  <si>
    <t>Natural Weapons Master</t>
  </si>
  <si>
    <t>Rain Trauma</t>
  </si>
  <si>
    <t>Nerd</t>
  </si>
  <si>
    <t>+20 Science/Analytic Group. Two E-skills</t>
  </si>
  <si>
    <t>Short of Breath (minor)</t>
  </si>
  <si>
    <t>Obscure Knowledge</t>
  </si>
  <si>
    <t>+10 Lore Obs or Lore Mag CAT, 1 E-skill</t>
  </si>
  <si>
    <t>Short of Breath (major)</t>
  </si>
  <si>
    <t>Outdoorsman</t>
  </si>
  <si>
    <t>Portage Skills</t>
  </si>
  <si>
    <t>Sloth</t>
  </si>
  <si>
    <t>Slow</t>
  </si>
  <si>
    <t>Slow Healer</t>
  </si>
  <si>
    <t>Spasm</t>
  </si>
  <si>
    <t>Stutter</t>
  </si>
  <si>
    <t>Racial Training (familiar)</t>
  </si>
  <si>
    <t>Tender Skin</t>
  </si>
  <si>
    <t>Racial Training (expert)</t>
  </si>
  <si>
    <t>Tired Legs</t>
  </si>
  <si>
    <t>Shield Attack</t>
  </si>
  <si>
    <t>Uncommon Allergy</t>
  </si>
  <si>
    <t>Skilled (only Comb. or Stand. prog) (lesser)</t>
  </si>
  <si>
    <t>Uncontrollable Strength</t>
  </si>
  <si>
    <t>Skilled (only Comb. or Stand. Prog) (minor)</t>
  </si>
  <si>
    <t>Uncoordinated</t>
  </si>
  <si>
    <t>Sleight-of-Hand</t>
  </si>
  <si>
    <t>Unhealthy</t>
  </si>
  <si>
    <t>Swift Dresser</t>
  </si>
  <si>
    <t>Unique Looks (lesser)</t>
  </si>
  <si>
    <t>Trained Regular Footman</t>
  </si>
  <si>
    <t>Unique Looks (minor)</t>
  </si>
  <si>
    <t>Underground Uprising</t>
  </si>
  <si>
    <t>Unique Looks (major)</t>
  </si>
  <si>
    <t>Warrior Extraordinare</t>
  </si>
  <si>
    <t>Unwakeable</t>
  </si>
  <si>
    <t>Weapon Control</t>
  </si>
  <si>
    <t>Weak Physique</t>
  </si>
  <si>
    <t>Weight Intolerant</t>
  </si>
  <si>
    <t>Physical Abilities (MAX 3)</t>
  </si>
  <si>
    <t>Physical, max 3</t>
  </si>
  <si>
    <t>Wimp</t>
  </si>
  <si>
    <t>Accelerated Mending</t>
  </si>
  <si>
    <t>Visible Aura</t>
  </si>
  <si>
    <t>Acute Hearing</t>
  </si>
  <si>
    <t>Acute Smell</t>
  </si>
  <si>
    <t>Mental Flaws</t>
  </si>
  <si>
    <t>Ambidexterity (lesser)</t>
  </si>
  <si>
    <t>Mental</t>
  </si>
  <si>
    <t>Ambidexterity (minor)</t>
  </si>
  <si>
    <t>Addiction/Simple (common) (Alcohol)</t>
  </si>
  <si>
    <t>Battle Cry</t>
  </si>
  <si>
    <t>Addiction/Simple (rare)</t>
  </si>
  <si>
    <t>Blazing Speed</t>
  </si>
  <si>
    <t>Addiction/Mild (common)</t>
  </si>
  <si>
    <t>Cold Resistance (lesser)</t>
  </si>
  <si>
    <t>Addiction/Mild (rare)</t>
  </si>
  <si>
    <t>Cold Resistance (minor)</t>
  </si>
  <si>
    <t>Addiction/Serious (common)</t>
  </si>
  <si>
    <t>Cold Resistance (major)</t>
  </si>
  <si>
    <t>Addiction/Serious (rare)</t>
  </si>
  <si>
    <t>Cold Resistance (greater)</t>
  </si>
  <si>
    <t>Addiction/Harmful</t>
  </si>
  <si>
    <t>Combat Reflexes (can't take with Lightning Ref.)</t>
  </si>
  <si>
    <t>Addiction/Fatal</t>
  </si>
  <si>
    <t>Commanding Demeanor</t>
  </si>
  <si>
    <t>Bad Temper</t>
  </si>
  <si>
    <t>Dead Eye</t>
  </si>
  <si>
    <t>Battle Confusion</t>
  </si>
  <si>
    <t>Ear for Music</t>
  </si>
  <si>
    <t>Blood-Guilt</t>
  </si>
  <si>
    <t>Eye of the Tiger</t>
  </si>
  <si>
    <t>Bloodlust</t>
  </si>
  <si>
    <t>Chivalrous</t>
  </si>
  <si>
    <t>Fluid Wrists</t>
  </si>
  <si>
    <t>Code of Honour</t>
  </si>
  <si>
    <t>Compulsive Behaviour</t>
  </si>
  <si>
    <t>Golden Throat</t>
  </si>
  <si>
    <t>Delusionary (lesser)</t>
  </si>
  <si>
    <t>Great Arm</t>
  </si>
  <si>
    <t>Delusionary (minor)</t>
  </si>
  <si>
    <t>Hammerhand</t>
  </si>
  <si>
    <t>Delusionary (major)</t>
  </si>
  <si>
    <t>Heat Resistace (lesser)</t>
  </si>
  <si>
    <t>Disavowed Weapons</t>
  </si>
  <si>
    <t>Heat Resistance (minor)</t>
  </si>
  <si>
    <t>Heat Resistance (major)</t>
  </si>
  <si>
    <t>Easy Mark</t>
  </si>
  <si>
    <t>Heat Resistance (greater)</t>
  </si>
  <si>
    <t>Fanatic</t>
  </si>
  <si>
    <t>High Jumper</t>
  </si>
  <si>
    <t>Fearlessness</t>
  </si>
  <si>
    <t>High Range Voice</t>
  </si>
  <si>
    <t>Hypercharged Adrenaline</t>
  </si>
  <si>
    <t>Fear of Armour</t>
  </si>
  <si>
    <t>Fear of Magic</t>
  </si>
  <si>
    <t>Intense Eye</t>
  </si>
  <si>
    <t>Glutton</t>
  </si>
  <si>
    <t>Light Sleeper</t>
  </si>
  <si>
    <t>Greedy</t>
  </si>
  <si>
    <t>Manual Defenses</t>
  </si>
  <si>
    <t>Indecision</t>
  </si>
  <si>
    <t>Natural Athletic</t>
  </si>
  <si>
    <t>Bonus DP (CO-bonus) to Athletic Group only</t>
  </si>
  <si>
    <t>Impulsive</t>
  </si>
  <si>
    <t>Natural Physique</t>
  </si>
  <si>
    <t>Intolerance (minor)</t>
  </si>
  <si>
    <t>Natural Weapon</t>
  </si>
  <si>
    <t>Intolerance (major)</t>
  </si>
  <si>
    <t>Navigation Gift</t>
  </si>
  <si>
    <t>Kleptomaniac</t>
  </si>
  <si>
    <t>Neutral Odor</t>
  </si>
  <si>
    <t>Lecherous</t>
  </si>
  <si>
    <t>Nightvision</t>
  </si>
  <si>
    <t>Megalomaniac</t>
  </si>
  <si>
    <t>Nimble Skeleton</t>
  </si>
  <si>
    <t>Memory Loss</t>
  </si>
  <si>
    <t>Pain Resistance (lesser -1)</t>
  </si>
  <si>
    <t>Pain Resistance (minor -2)</t>
  </si>
  <si>
    <t>Minor Fear (minor)</t>
  </si>
  <si>
    <t>Pain Resistance (major -4)</t>
  </si>
  <si>
    <t>Minor Fear (major)</t>
  </si>
  <si>
    <t>Pain Resistance (greater -6)</t>
  </si>
  <si>
    <t>Miser</t>
  </si>
  <si>
    <t>Peripheral Vision</t>
  </si>
  <si>
    <t>Oblivious</t>
  </si>
  <si>
    <t>Overconfident</t>
  </si>
  <si>
    <t>Quiet Stride</t>
  </si>
  <si>
    <t>Pacifist (minor)</t>
  </si>
  <si>
    <t>Regeneration (minor, 1/min)</t>
  </si>
  <si>
    <t>Pacifist (major)</t>
  </si>
  <si>
    <t>Regeneration (major, 1/rnd)</t>
  </si>
  <si>
    <t>Pacifist (greater)</t>
  </si>
  <si>
    <t>Regeneration (greater, 3/rnd)</t>
  </si>
  <si>
    <t>Paranoid</t>
  </si>
  <si>
    <t>Resilient</t>
  </si>
  <si>
    <t>Passive</t>
  </si>
  <si>
    <t>Reverbative Strength</t>
  </si>
  <si>
    <t>Phobia (minor)</t>
  </si>
  <si>
    <t>Shield Mastery</t>
  </si>
  <si>
    <t>Phobia (major)</t>
  </si>
  <si>
    <t>Steel Grip</t>
  </si>
  <si>
    <t>Phobia (greater)</t>
  </si>
  <si>
    <t>Strong Lungs</t>
  </si>
  <si>
    <t>Poor Concentration</t>
  </si>
  <si>
    <t>Sturdy Build</t>
  </si>
  <si>
    <t>Pyromaniac</t>
  </si>
  <si>
    <t>Subconscious Preparation</t>
  </si>
  <si>
    <t>Queasy</t>
  </si>
  <si>
    <t>Subtle</t>
  </si>
  <si>
    <t>Sadist</t>
  </si>
  <si>
    <t>Tensile (minor)</t>
  </si>
  <si>
    <t>Sense of Duty (lesser)</t>
  </si>
  <si>
    <t>Tensile (major)</t>
  </si>
  <si>
    <t>Sense of Duty (minor)</t>
  </si>
  <si>
    <t>Tensile (greater)</t>
  </si>
  <si>
    <t>Sense of Duty (greater)</t>
  </si>
  <si>
    <t>Tolerance</t>
  </si>
  <si>
    <t>Split Personality</t>
  </si>
  <si>
    <t>Tough Skin (wolf, AT3)</t>
  </si>
  <si>
    <t>Stubborn</t>
  </si>
  <si>
    <t>Tough Skin (tiger, AT 4, APP -20)</t>
  </si>
  <si>
    <t>Superstitious</t>
  </si>
  <si>
    <t>Tough Skin (insect, AT 11, APP -40)</t>
  </si>
  <si>
    <t>Trauma (minor)</t>
  </si>
  <si>
    <t>Unnatural Stamina</t>
  </si>
  <si>
    <t>Trauma (major)</t>
  </si>
  <si>
    <t>Trauma (greater)</t>
  </si>
  <si>
    <t>Mystical Abilities (MAX 2)</t>
  </si>
  <si>
    <t>Truthful (lesser)</t>
  </si>
  <si>
    <t>Aggression</t>
  </si>
  <si>
    <t>Mystical, max 2</t>
  </si>
  <si>
    <t>Archetype</t>
  </si>
  <si>
    <t>Vow (lesser)</t>
  </si>
  <si>
    <t>Vow (minor)</t>
  </si>
  <si>
    <t>Vow (major)</t>
  </si>
  <si>
    <t>Aura (lesser)</t>
  </si>
  <si>
    <t>Vow (greater)</t>
  </si>
  <si>
    <t>Aura (minor)</t>
  </si>
  <si>
    <t>Weapon Bane</t>
  </si>
  <si>
    <t>Aura (major)</t>
  </si>
  <si>
    <t>Weak Mind (MC p. 19)</t>
  </si>
  <si>
    <t>Danger Sense</t>
  </si>
  <si>
    <t>Special Flaws</t>
  </si>
  <si>
    <t>Destiny Sense</t>
  </si>
  <si>
    <t>Cursed Shape Shifter</t>
  </si>
  <si>
    <t>Eloquence</t>
  </si>
  <si>
    <t>Dark Pact</t>
  </si>
  <si>
    <t>Ensorcellment Cure</t>
  </si>
  <si>
    <t>Dark Temptation</t>
  </si>
  <si>
    <t>Dependent (minor)</t>
  </si>
  <si>
    <t>Exceptional Magical Ability</t>
  </si>
  <si>
    <t>Dependent (major)</t>
  </si>
  <si>
    <t>Innate Magician</t>
  </si>
  <si>
    <t>Dependent (greater)</t>
  </si>
  <si>
    <t>Duty (minor)</t>
  </si>
  <si>
    <t>Look of Eagles</t>
  </si>
  <si>
    <t>Duty (major)</t>
  </si>
  <si>
    <t>Magical Affinity</t>
  </si>
  <si>
    <t>Duty (greater)</t>
  </si>
  <si>
    <t>Magical Resistance</t>
  </si>
  <si>
    <t>Friendslayer</t>
  </si>
  <si>
    <t>Mana Reading</t>
  </si>
  <si>
    <t>Lack of Scope</t>
  </si>
  <si>
    <t>Mana Sensing</t>
  </si>
  <si>
    <t>Lack of Time</t>
  </si>
  <si>
    <t>Mental Agility (MC p. 18)</t>
  </si>
  <si>
    <t>Lycanthropy</t>
  </si>
  <si>
    <t>Neutral Aura (MC p. 18)</t>
  </si>
  <si>
    <t>Magic Allergy (minor)</t>
  </si>
  <si>
    <t>Piercing Eyes (MC p. 18)</t>
  </si>
  <si>
    <t>Magic Allergy (major)</t>
  </si>
  <si>
    <t>Magic Allergy (greater)</t>
  </si>
  <si>
    <t>Magically Suspectible</t>
  </si>
  <si>
    <t>Magically Vulnerable</t>
  </si>
  <si>
    <t>Resistance</t>
  </si>
  <si>
    <t>Runic Lore</t>
  </si>
  <si>
    <t>Necromantic Urge</t>
  </si>
  <si>
    <t>Spatial Skills (minor)</t>
  </si>
  <si>
    <t>Open Book (MC p. 19)</t>
  </si>
  <si>
    <t>Spatial Skills (major)</t>
  </si>
  <si>
    <t>Sub-conscious Discipline</t>
  </si>
  <si>
    <t>Part Animal</t>
  </si>
  <si>
    <t>Temporal Skills</t>
  </si>
  <si>
    <t>Poor Control</t>
  </si>
  <si>
    <t>Transcendence</t>
  </si>
  <si>
    <t>Undetectable</t>
  </si>
  <si>
    <t>Unnatural Aging</t>
  </si>
  <si>
    <t>Mental Abilities (MAX 2, Mentalism users 4)</t>
  </si>
  <si>
    <t>Power Leakage</t>
  </si>
  <si>
    <t>Animal Empathy</t>
  </si>
  <si>
    <t>Mental, Max 2, mentalism 4</t>
  </si>
  <si>
    <t>Repulsive Habit (minor)</t>
  </si>
  <si>
    <t>Battle Reflexes</t>
  </si>
  <si>
    <t>Repulsive Habit (major)</t>
  </si>
  <si>
    <t>Calmness</t>
  </si>
  <si>
    <t>Repulsive Habit (greater)</t>
  </si>
  <si>
    <t>Dominance</t>
  </si>
  <si>
    <t>Rival/NPC (minor)</t>
  </si>
  <si>
    <t>Rival/NPC (major)</t>
  </si>
  <si>
    <t>Excellent Memory (MC p. 18)</t>
  </si>
  <si>
    <t>Rival/NPC (greater)</t>
  </si>
  <si>
    <t>Good Battlefield Awareness</t>
  </si>
  <si>
    <t>Rival/PC (minor)</t>
  </si>
  <si>
    <t>Immovable Will</t>
  </si>
  <si>
    <t>Rival/PC (major)</t>
  </si>
  <si>
    <t>Instinctive Defense</t>
  </si>
  <si>
    <t>Rival/PC (greater)</t>
  </si>
  <si>
    <t>Internal Sense</t>
  </si>
  <si>
    <t>Secret (minor)</t>
  </si>
  <si>
    <t>Master Tactician</t>
  </si>
  <si>
    <t>Secret (major)</t>
  </si>
  <si>
    <t>Secret (greater)</t>
  </si>
  <si>
    <t>Mental Link</t>
  </si>
  <si>
    <t>Secret Identity</t>
  </si>
  <si>
    <t>Mental Scan</t>
  </si>
  <si>
    <t>Stat Penalty (minor)</t>
  </si>
  <si>
    <t>Stat Penalty (major)</t>
  </si>
  <si>
    <t>Photographic Memory</t>
  </si>
  <si>
    <t>Stat Penalty (greater)</t>
  </si>
  <si>
    <t>Quick Calculator</t>
  </si>
  <si>
    <t>Terrible Luck</t>
  </si>
  <si>
    <t>Speed Reading</t>
  </si>
  <si>
    <t>Tongue Tied (MC p. 19)</t>
  </si>
  <si>
    <t>Stability Sense</t>
  </si>
  <si>
    <t>The Slain</t>
  </si>
  <si>
    <t>Survival Instinct</t>
  </si>
  <si>
    <t>Unlucky</t>
  </si>
  <si>
    <t>Telekinesis</t>
  </si>
  <si>
    <t>Unusual Aura (MC p. 19)</t>
  </si>
  <si>
    <t>Telepathy</t>
  </si>
  <si>
    <t>Wrath</t>
  </si>
  <si>
    <t>Unbeliever</t>
  </si>
  <si>
    <t>Violent Prejudice</t>
  </si>
  <si>
    <t>Special Abilities (MAX 1)</t>
  </si>
  <si>
    <t>Adherent</t>
  </si>
  <si>
    <t>Special, max 1</t>
  </si>
  <si>
    <t>Amazing Leap</t>
  </si>
  <si>
    <t>Attribute Drain</t>
  </si>
  <si>
    <t>Bane</t>
  </si>
  <si>
    <t>Darkness</t>
  </si>
  <si>
    <t>Ensnare (major)</t>
  </si>
  <si>
    <t>Special Attack only as E skill</t>
  </si>
  <si>
    <t>Ensnare (greater)</t>
  </si>
  <si>
    <t>as in Talent law, range +20'</t>
  </si>
  <si>
    <t>Eye of the Hawk</t>
  </si>
  <si>
    <t>+100' range</t>
  </si>
  <si>
    <t>Flare</t>
  </si>
  <si>
    <t>Life Support (sustenance)</t>
  </si>
  <si>
    <t>Life Support (major)</t>
  </si>
  <si>
    <t>Life Support (greater)</t>
  </si>
  <si>
    <t>Lifetime Goal</t>
  </si>
  <si>
    <t>Luck, Dramatic (lesser)</t>
  </si>
  <si>
    <t>Luck, Dramatic (minor)</t>
  </si>
  <si>
    <t>Luck, Dramatic (major)</t>
  </si>
  <si>
    <t>Luck, Dramatic (greater)</t>
  </si>
  <si>
    <t>Lucky (minor)</t>
  </si>
  <si>
    <t>Lucky (major)</t>
  </si>
  <si>
    <t>Lucky (greater)</t>
  </si>
  <si>
    <t>Master Warrior Friend</t>
  </si>
  <si>
    <t>Mentor</t>
  </si>
  <si>
    <t>Microscopic Vision</t>
  </si>
  <si>
    <t>Natural Ranged Attack (major)</t>
  </si>
  <si>
    <t>Natural Ranged Attack (greater)</t>
  </si>
  <si>
    <t>Sense</t>
  </si>
  <si>
    <t>Shapechanger</t>
  </si>
  <si>
    <t>Special Familiar</t>
  </si>
  <si>
    <t>Stat Bonus (minor)</t>
  </si>
  <si>
    <t>Stat Bonus (major)</t>
  </si>
  <si>
    <t>Stat Improvement</t>
  </si>
  <si>
    <t>Succor (minor, 1 ailment)</t>
  </si>
  <si>
    <t>Succor (major, 3 ailments)</t>
  </si>
  <si>
    <t>Succor (greater, 5 ailments)</t>
  </si>
  <si>
    <t>Summon</t>
  </si>
  <si>
    <t>Special Items (NO LIMIT)</t>
  </si>
  <si>
    <t>Items, no limit</t>
  </si>
  <si>
    <t>Bonus Item I</t>
  </si>
  <si>
    <t>Bonus Item II</t>
  </si>
  <si>
    <t>Bonus Item III</t>
  </si>
  <si>
    <t>Bonus Item IV</t>
  </si>
  <si>
    <t>Bonus Item V</t>
  </si>
  <si>
    <t>Bonus Item VI</t>
  </si>
  <si>
    <t>Bonus Item VII</t>
  </si>
  <si>
    <t>Bonus Item VIII</t>
  </si>
  <si>
    <t>Daily Item I</t>
  </si>
  <si>
    <t>Daily Item II</t>
  </si>
  <si>
    <t>Daily Item III</t>
  </si>
  <si>
    <t>Daily Item IV</t>
  </si>
  <si>
    <t>Daily Item V</t>
  </si>
  <si>
    <t>Daily Item VI</t>
  </si>
  <si>
    <t>Daily Item VII</t>
  </si>
  <si>
    <t>Daily Item VIII</t>
  </si>
  <si>
    <t>Loyal Domesticated Animal</t>
  </si>
  <si>
    <t>Loyal Unusual Creature</t>
  </si>
  <si>
    <t>Potion, 3 doses</t>
  </si>
  <si>
    <t>Potion, 5 doses</t>
  </si>
  <si>
    <t>Rune Paper, 3 sheets</t>
  </si>
  <si>
    <t>Rune Paper, 5 sheets</t>
  </si>
  <si>
    <t>Special Bread/Poison/Herb</t>
  </si>
  <si>
    <t>Spell Adder +1</t>
  </si>
  <si>
    <t>Spell Adder +2</t>
  </si>
  <si>
    <t>Spell Adder +3</t>
  </si>
  <si>
    <t>Spell Adder +4</t>
  </si>
  <si>
    <t>Power Point Multiplier x 2</t>
  </si>
  <si>
    <t>Roll / Race Type</t>
  </si>
  <si>
    <t>Man</t>
  </si>
  <si>
    <t>Elf</t>
  </si>
  <si>
    <t>Rodun tyyppi</t>
  </si>
  <si>
    <t>Missing from races / not finished</t>
  </si>
  <si>
    <t>Talent 1</t>
  </si>
  <si>
    <t>Talent 2</t>
  </si>
  <si>
    <t>Talent 3</t>
  </si>
  <si>
    <t>Talent 4</t>
  </si>
  <si>
    <t>Talent 5</t>
  </si>
  <si>
    <t>Racial Training (+20 to 6 non-combat hobby skills)</t>
  </si>
  <si>
    <t>Bonus to Tale Telling +15</t>
  </si>
  <si>
    <t>Cold Resistance (lesser) +5</t>
  </si>
  <si>
    <t>Heat Resistance (minor) +15</t>
  </si>
  <si>
    <t>Cold Resistance (minor) +15</t>
  </si>
  <si>
    <t>Racial Training (+10 to 6 non-combat hobby skills)</t>
  </si>
  <si>
    <t>1 Melee or Directed Spell skill</t>
  </si>
  <si>
    <t>Religion (Drow)</t>
  </si>
  <si>
    <t>Survival (Underground)</t>
  </si>
  <si>
    <t>1 Athletic Skill</t>
  </si>
  <si>
    <t>-30 in direct sunlight</t>
  </si>
  <si>
    <t>Any Armour Skills</t>
  </si>
  <si>
    <t>Crafts</t>
  </si>
  <si>
    <t>+10 Survival (underground)</t>
  </si>
  <si>
    <t>+10 Religion (Drow)</t>
  </si>
  <si>
    <t>+20 Religion (Drow)</t>
  </si>
  <si>
    <t>Count, Countess, Deacon</t>
  </si>
  <si>
    <t>Prince, Princess, Cardinal</t>
  </si>
  <si>
    <t>Duke, Duchess, Arch Bishop</t>
  </si>
  <si>
    <t>Marquis/Marquess, Bishop</t>
  </si>
  <si>
    <t>Earl, Pastor</t>
  </si>
  <si>
    <t>1.037</t>
  </si>
  <si>
    <t xml:space="preserve">DP Cost multipliers for AG, QU, ST, IN -&gt; 0,8 </t>
  </si>
  <si>
    <t>DP Cost multipliers for ME, RE, EM -&gt; 1,2</t>
  </si>
  <si>
    <t>Professions with EM as prime stat can't learn Essence Spells</t>
  </si>
  <si>
    <t>Priests of &lt;element&gt; can't learn/use their Own Base Lists</t>
  </si>
  <si>
    <t>Added comment:</t>
  </si>
  <si>
    <t>Changes below</t>
  </si>
  <si>
    <t>Cell</t>
  </si>
  <si>
    <t>Stats / N3</t>
  </si>
  <si>
    <t>Stats / N4</t>
  </si>
  <si>
    <t>Removed</t>
  </si>
  <si>
    <t>Fixed some disappeared sum cells</t>
  </si>
  <si>
    <t>Added more slots for survival and foraging skills</t>
  </si>
  <si>
    <t xml:space="preserve">Removed </t>
  </si>
  <si>
    <t>1-H Edged</t>
  </si>
  <si>
    <t>Removed negative mods from used PPs</t>
  </si>
  <si>
    <t>PP/8h sleep</t>
  </si>
  <si>
    <t>PP/h rest</t>
  </si>
  <si>
    <t>PP/1h act</t>
  </si>
  <si>
    <t>Adjusted PP point regeneration</t>
  </si>
  <si>
    <t>Stats / L25</t>
  </si>
  <si>
    <t>Stats / L26</t>
  </si>
  <si>
    <t>1.100</t>
  </si>
  <si>
    <t>Notes</t>
  </si>
  <si>
    <t>DP Cost multipliers for AG, QU, ST, IN -&gt; 1,0</t>
  </si>
  <si>
    <t>DP Cost multipliers for ME, RE, EM -&gt; 1,0</t>
  </si>
  <si>
    <t>5 per 8h sleep</t>
  </si>
  <si>
    <t>1 per 8h sleep</t>
  </si>
  <si>
    <t>Removed Open and Closed Spell Lists</t>
  </si>
  <si>
    <t>Converted background spell ranks to hobby ranks</t>
  </si>
  <si>
    <t>Tidied up everyman skills etc displayment</t>
  </si>
  <si>
    <t>Apu TP:t</t>
  </si>
  <si>
    <t>Time (months)</t>
  </si>
  <si>
    <t>Own Realm Other Base List</t>
  </si>
  <si>
    <t>Other Realm Base List</t>
  </si>
  <si>
    <t>Absorb Power Points</t>
  </si>
  <si>
    <t>Power Manipulations -category; drains PP from items</t>
  </si>
  <si>
    <t xml:space="preserve">Removed skill "Channeling" </t>
  </si>
  <si>
    <t>Power Manipulations -category</t>
  </si>
  <si>
    <t>Added skill "Absorb Power Points"</t>
  </si>
  <si>
    <t>Profession 1:</t>
  </si>
  <si>
    <t>Profession 2:</t>
  </si>
  <si>
    <t>CHOOSE PROFESSION 1!</t>
  </si>
  <si>
    <t>CHOOSE PROFESSION 2!</t>
  </si>
  <si>
    <t>Cost / P1</t>
  </si>
  <si>
    <t>Cost / P2</t>
  </si>
  <si>
    <t>Added dual professions</t>
  </si>
  <si>
    <t>CO/EM/IN/PR</t>
  </si>
  <si>
    <t>Version</t>
  </si>
  <si>
    <t>Super Mähönen</t>
  </si>
  <si>
    <t>The character with this talent is able to retain far more of ant material that he has read than normal people retain. this results in a special bonus number of DPs equal to The sum of character’s Reasoning and Memory stat bonuses that may only be spent on skills in The Lore group.</t>
  </si>
  <si>
    <t>Skilled</t>
  </si>
  <si>
    <t>Choose one secondary skill that maybe classified as everyman skill.</t>
  </si>
  <si>
    <t>Blabber</t>
  </si>
  <si>
    <t>Character keeps on talking (need to roleplay this flaw). 20% chance character talks when he should be quiet (for example sneaking/hiding or during silent moment in funeral)</t>
  </si>
  <si>
    <t>Dragonfool</t>
  </si>
  <si>
    <t>Fervently disbelieves dragons did exist and will go so far as to prove the dragon is a very powerful series of damage and illusion spells. Cannot be convinced otherwise.</t>
  </si>
  <si>
    <t>Birdhater</t>
  </si>
  <si>
    <t>They hate birds with a passion. Depending on their intelligence or charisma they will have different things to say about the "filthy flying monsters" or how "they think they are so cool being able to fly". It can make my dumb druid go into a rant about how they are satan's assholes with little to no warning or he will flat out growl at them.</t>
  </si>
  <si>
    <t>Reader</t>
  </si>
  <si>
    <t>You can’t read and can’t learn to read, but would never admit to it. You’ll try to hide this flaw the best you can.</t>
  </si>
  <si>
    <t xml:space="preserve">Battlezophrenic </t>
  </si>
  <si>
    <t>Schizophrenic who must make a SD test (roll D100 and add 3xSD stat, if result is under 100 -&gt; fail) whenever combat starts to avoid switching to evil bloodlust personality for the duration of combat (it will take 2 rounds to calm to normal person after last enemy is slain/incapatisated or has surrendered)</t>
  </si>
  <si>
    <t>Power (lesser)</t>
  </si>
  <si>
    <t>Power (minor)</t>
  </si>
  <si>
    <t>Power (major)</t>
  </si>
  <si>
    <t>While in combat, all of your allies who can see you gain a special bonus of +5 to their OBs. Any foe who can see you must make a Fear RR (using your current experience level as the attack level) or fight with a penalty of -10.</t>
  </si>
  <si>
    <t>Updated Talents and Flaws</t>
  </si>
  <si>
    <t>As in Talents &amp; Flaws 1.021.doc</t>
  </si>
  <si>
    <t>Sun Elf</t>
  </si>
  <si>
    <t>Moon Elf</t>
  </si>
  <si>
    <t>Wood Elf</t>
  </si>
  <si>
    <t>min height</t>
  </si>
  <si>
    <t>max height</t>
  </si>
  <si>
    <t>average</t>
  </si>
  <si>
    <t>min weight</t>
  </si>
  <si>
    <t>max weight</t>
  </si>
  <si>
    <t>Main Race</t>
  </si>
  <si>
    <t>Wild Elf</t>
  </si>
  <si>
    <t>Aquatic Elf</t>
  </si>
  <si>
    <t>Gray / Duergar</t>
  </si>
  <si>
    <t>Deep Gnome</t>
  </si>
  <si>
    <t>Gnome</t>
  </si>
  <si>
    <t>Rock Gnome</t>
  </si>
  <si>
    <t>Human</t>
  </si>
  <si>
    <t>Calishite</t>
  </si>
  <si>
    <t>Chondathan</t>
  </si>
  <si>
    <t>Illuskan</t>
  </si>
  <si>
    <t>Mulan</t>
  </si>
  <si>
    <t>Rashemi</t>
  </si>
  <si>
    <t>Tethyrian</t>
  </si>
  <si>
    <t>Dragonborn</t>
  </si>
  <si>
    <t>Damaran</t>
  </si>
  <si>
    <t>Bedine</t>
  </si>
  <si>
    <t>Ffolk</t>
  </si>
  <si>
    <t>Gur</t>
  </si>
  <si>
    <t>Halruaan</t>
  </si>
  <si>
    <t>Nar</t>
  </si>
  <si>
    <t>Shaaran</t>
  </si>
  <si>
    <t>Tuigan</t>
  </si>
  <si>
    <t>Urban Man</t>
  </si>
  <si>
    <t>+15 Hiding</t>
  </si>
  <si>
    <t>+15 Armor Medium CAT</t>
  </si>
  <si>
    <t>Common</t>
  </si>
  <si>
    <t>Dwarvish</t>
  </si>
  <si>
    <t>Elvish</t>
  </si>
  <si>
    <t>Extra Language</t>
  </si>
  <si>
    <t>+10 RR vs Fear</t>
  </si>
  <si>
    <t>30' telepathy</t>
  </si>
  <si>
    <t>Dambrathan</t>
  </si>
  <si>
    <t>Midani</t>
  </si>
  <si>
    <t>Alzhedo</t>
  </si>
  <si>
    <t>Waelan</t>
  </si>
  <si>
    <t>Guran</t>
  </si>
  <si>
    <t>Draconic</t>
  </si>
  <si>
    <t>Roushoum</t>
  </si>
  <si>
    <t>Chessentan</t>
  </si>
  <si>
    <t>Dambrathan (written in Espruar)</t>
  </si>
  <si>
    <t>Damaran (written in Dethek)</t>
  </si>
  <si>
    <t>Halruaan (written in Draconic)</t>
  </si>
  <si>
    <t>Shaaran (written in Dethek)</t>
  </si>
  <si>
    <t>Uluik</t>
  </si>
  <si>
    <t>+25 RR vs Main Element</t>
  </si>
  <si>
    <t>+10 Attunement</t>
  </si>
  <si>
    <t>+10 Absorb Power Points</t>
  </si>
  <si>
    <t>-40 Swimming</t>
  </si>
  <si>
    <t>-10 Sprinting</t>
  </si>
  <si>
    <t>Any Evaluation Skill</t>
  </si>
  <si>
    <t>Any Lore Skill</t>
  </si>
  <si>
    <t>Any Crafts Skill</t>
  </si>
  <si>
    <t>-20 Subterfuge - Stealth CAT</t>
  </si>
  <si>
    <t>Draconic Ancestry</t>
  </si>
  <si>
    <t>Breath Weapon</t>
  </si>
  <si>
    <t>-20 Athletic - Gymnastic CAT</t>
  </si>
  <si>
    <t>Any Power Manipulations Skill</t>
  </si>
  <si>
    <t>Any Science Group Skill</t>
  </si>
  <si>
    <t>Gnomish</t>
  </si>
  <si>
    <t>1.110</t>
  </si>
  <si>
    <t>Changed all races and cultures to Sword Coast ones</t>
  </si>
  <si>
    <t>Changed height and weight tables</t>
  </si>
  <si>
    <t>+15 to Artifact Lore</t>
  </si>
  <si>
    <t>+20 to Engineering</t>
  </si>
  <si>
    <t>+15 to two Crafts</t>
  </si>
  <si>
    <t>All Crafts Skills</t>
  </si>
  <si>
    <t>+10 to Outdoor Animal CAT</t>
  </si>
  <si>
    <t>Any Outdoor GROUP skill</t>
  </si>
  <si>
    <t>+20 to Stealth on rocky terrain</t>
  </si>
  <si>
    <t>Any Weapon Skill</t>
  </si>
  <si>
    <t>1.111</t>
  </si>
  <si>
    <t>Added Magic Realm for secondary profession</t>
  </si>
  <si>
    <t>Stats / D39</t>
  </si>
  <si>
    <t>Added mean professional bonuses</t>
  </si>
  <si>
    <t>Removed DP cost multipliers from Stats page</t>
  </si>
  <si>
    <t>Warding / Symbol Lore</t>
  </si>
  <si>
    <t>Removed Planar Lore from Lore - Magical</t>
  </si>
  <si>
    <t>Combined Symbol Lore to Warding Lore</t>
  </si>
  <si>
    <t>Culture Lore:___________</t>
  </si>
  <si>
    <t>Region Lore: ___________</t>
  </si>
  <si>
    <t>Added blanks for Culture- and Region Lore</t>
  </si>
  <si>
    <t>+10 All Evaluations</t>
  </si>
  <si>
    <t>+10 Appraisal</t>
  </si>
  <si>
    <r>
      <t xml:space="preserve">+20 Animal Handling </t>
    </r>
    <r>
      <rPr>
        <b/>
        <sz val="7"/>
        <color indexed="8"/>
        <rFont val="Arial"/>
        <family val="2"/>
        <charset val="1"/>
      </rPr>
      <t>(</t>
    </r>
    <r>
      <rPr>
        <sz val="7"/>
        <color indexed="8"/>
        <rFont val="Arial"/>
        <family val="2"/>
        <charset val="1"/>
      </rPr>
      <t>horses</t>
    </r>
    <r>
      <rPr>
        <b/>
        <sz val="7"/>
        <color indexed="8"/>
        <rFont val="Arial"/>
        <family val="2"/>
        <charset val="1"/>
      </rPr>
      <t>)</t>
    </r>
  </si>
  <si>
    <r>
      <t xml:space="preserve">+20 Animal Training </t>
    </r>
    <r>
      <rPr>
        <b/>
        <sz val="7"/>
        <color indexed="8"/>
        <rFont val="Arial"/>
        <family val="2"/>
        <charset val="1"/>
      </rPr>
      <t>(</t>
    </r>
    <r>
      <rPr>
        <sz val="7"/>
        <color indexed="8"/>
        <rFont val="Arial"/>
        <family val="2"/>
        <charset val="1"/>
      </rPr>
      <t>horses</t>
    </r>
    <r>
      <rPr>
        <b/>
        <sz val="7"/>
        <color indexed="8"/>
        <rFont val="Arial"/>
        <family val="2"/>
        <charset val="1"/>
      </rPr>
      <t>)</t>
    </r>
  </si>
  <si>
    <r>
      <t xml:space="preserve">+20 Animal Mastery </t>
    </r>
    <r>
      <rPr>
        <b/>
        <sz val="7"/>
        <color indexed="8"/>
        <rFont val="Arial"/>
        <family val="2"/>
        <charset val="1"/>
      </rPr>
      <t>(</t>
    </r>
    <r>
      <rPr>
        <sz val="7"/>
        <color indexed="8"/>
        <rFont val="Arial"/>
        <family val="2"/>
        <charset val="1"/>
      </rPr>
      <t>horses</t>
    </r>
    <r>
      <rPr>
        <b/>
        <sz val="7"/>
        <color indexed="8"/>
        <rFont val="Arial"/>
        <family val="2"/>
        <charset val="1"/>
      </rPr>
      <t>)</t>
    </r>
  </si>
  <si>
    <r>
      <t xml:space="preserve">+20 Riding </t>
    </r>
    <r>
      <rPr>
        <b/>
        <sz val="7"/>
        <color indexed="8"/>
        <rFont val="Arial"/>
        <family val="2"/>
        <charset val="1"/>
      </rPr>
      <t>(</t>
    </r>
    <r>
      <rPr>
        <sz val="7"/>
        <color indexed="8"/>
        <rFont val="Arial"/>
        <family val="2"/>
        <charset val="1"/>
      </rPr>
      <t>horse</t>
    </r>
    <r>
      <rPr>
        <b/>
        <sz val="7"/>
        <color indexed="8"/>
        <rFont val="Arial"/>
        <family val="2"/>
        <charset val="1"/>
      </rPr>
      <t>)</t>
    </r>
  </si>
  <si>
    <t>Arkaiun (rural man)</t>
  </si>
  <si>
    <t>Dusky</t>
  </si>
  <si>
    <t>Dusky Brown</t>
  </si>
  <si>
    <t>Tawny</t>
  </si>
  <si>
    <t>Fixed typos</t>
  </si>
  <si>
    <t>Ship-Building</t>
  </si>
  <si>
    <t>+10 DB and RR vs Heat and Cold</t>
  </si>
  <si>
    <t>+20 Survival (desert)</t>
  </si>
  <si>
    <t>Any Urban skills</t>
  </si>
  <si>
    <t>Any Social skills</t>
  </si>
  <si>
    <t xml:space="preserve">Any Artistic skills </t>
  </si>
  <si>
    <t>+10 to Lore Magical: Category</t>
  </si>
  <si>
    <t>Any Power Manipulations -skills</t>
  </si>
  <si>
    <t>Any Lore -skills</t>
  </si>
  <si>
    <t>History (Gur)</t>
  </si>
  <si>
    <t>Gray</t>
  </si>
  <si>
    <t>Blond</t>
  </si>
  <si>
    <t>Hunting/Fishing</t>
  </si>
  <si>
    <t>+20 to Lore Magical: Category</t>
  </si>
  <si>
    <t>+20 Attunement</t>
  </si>
  <si>
    <t>Sallow</t>
  </si>
  <si>
    <t>Demon Lore</t>
  </si>
  <si>
    <t>Any Armour – Light skill</t>
  </si>
  <si>
    <t>Shortsword</t>
  </si>
  <si>
    <t>+20 Demon Lore</t>
  </si>
  <si>
    <t>Dusty</t>
  </si>
  <si>
    <t>Yellow-Bronze</t>
  </si>
  <si>
    <t>Riding (Horse)</t>
  </si>
  <si>
    <t>+20 Survival: Mountain</t>
  </si>
  <si>
    <t>+10 Climbing</t>
  </si>
  <si>
    <t>All Outdoor -skills</t>
  </si>
  <si>
    <t>Orcish</t>
  </si>
  <si>
    <t>+50 Swimming</t>
  </si>
  <si>
    <t>Fishing</t>
  </si>
  <si>
    <t>Gills in neck nad Ribs - Can breathe water</t>
  </si>
  <si>
    <t>All Armour Skills</t>
  </si>
  <si>
    <t>Ash</t>
  </si>
  <si>
    <t>Bald</t>
  </si>
  <si>
    <t>Silver-blue</t>
  </si>
  <si>
    <t>Golden Blond</t>
  </si>
  <si>
    <t>Silvery white</t>
  </si>
  <si>
    <t>Copper red</t>
  </si>
  <si>
    <t>Scarlet</t>
  </si>
  <si>
    <t>Bark</t>
  </si>
  <si>
    <t>Grayish</t>
  </si>
  <si>
    <t>Gray - Female</t>
  </si>
  <si>
    <t>Bald - Male</t>
  </si>
  <si>
    <t>Pale</t>
  </si>
  <si>
    <t>Auburn</t>
  </si>
  <si>
    <t>Natural Claw - attack (max result medium)</t>
  </si>
  <si>
    <t>+20 Survival - Forest</t>
  </si>
  <si>
    <t>Can speak with small animals (size no larger than gnome, equal to rank 4)</t>
  </si>
  <si>
    <t>Foraging - Forest</t>
  </si>
  <si>
    <t>In forest can pass without leaving trace</t>
  </si>
  <si>
    <t>+20 Caving</t>
  </si>
  <si>
    <t>-20 Every Awarness roll in sunlight</t>
  </si>
  <si>
    <t>Natural AT 4</t>
  </si>
  <si>
    <t>+20 Awarness - Smell</t>
  </si>
  <si>
    <t>All Outdoor skills</t>
  </si>
  <si>
    <t>+20 Stone Lore</t>
  </si>
  <si>
    <t>+20 Diving</t>
  </si>
  <si>
    <t>+30 Survival - Arctic</t>
  </si>
  <si>
    <t>Survival (Arctic)</t>
  </si>
  <si>
    <t>Nightvision 60 feet</t>
  </si>
  <si>
    <t>Darkvision 20 feet</t>
  </si>
  <si>
    <t>Nightvision 120 feet</t>
  </si>
  <si>
    <t>Darkvision 10 feet</t>
  </si>
  <si>
    <t>Darkvision???</t>
  </si>
  <si>
    <t>http://forgottenrealms.wikia.com/wiki/Aquatic_elf</t>
  </si>
  <si>
    <t>http://forgottenrealms.wikia.com/wiki/Arkaiun</t>
  </si>
  <si>
    <t>http://forgottenrealms.wikia.com/wiki/Bedine</t>
  </si>
  <si>
    <t>http://forgottenrealms.wikia.com/wiki/Calishite</t>
  </si>
  <si>
    <t>http://forgottenrealms.wikia.com/wiki/Chondathan</t>
  </si>
  <si>
    <t>http://forgottenrealms.wikia.com/wiki/Orc</t>
  </si>
  <si>
    <t>http://forgottenrealms.wikia.com/wiki/Damaran</t>
  </si>
  <si>
    <t>http://forgottenrealms.wikia.com/wiki/Deep_gnomes</t>
  </si>
  <si>
    <t>http://forgottenrealms.wikia.com/wiki/Dragonborn</t>
  </si>
  <si>
    <t>http://forgottenrealms.wikia.com/wiki/Drow</t>
  </si>
  <si>
    <t>http://forgottenrealms.wikia.com/wiki/Ffolk</t>
  </si>
  <si>
    <t>Forest Gnome</t>
  </si>
  <si>
    <t>http://forgottenrealms.wikia.com/wiki/Forest_gnome</t>
  </si>
  <si>
    <t>http://forgottenrealms.wikia.com/wiki/Ghostwise_halfling</t>
  </si>
  <si>
    <t>http://forgottenrealms.wikia.com/wiki/Duergar</t>
  </si>
  <si>
    <t>http://forgottenrealms.wikia.com/wiki/Gur</t>
  </si>
  <si>
    <t>http://forgottenrealms.wikia.com/wiki/Half-elf</t>
  </si>
  <si>
    <t>http://forgottenrealms.wikia.com/wiki/Half-orc</t>
  </si>
  <si>
    <t>http://forgottenrealms.wikia.com/wiki/Halruaan_(ethnicity)</t>
  </si>
  <si>
    <t>http://forgottenrealms.wikia.com/wiki/Gold_dwarf</t>
  </si>
  <si>
    <t>http://forgottenrealms.wikia.com/wiki/Illuskan</t>
  </si>
  <si>
    <t>Hill / Gold Dwarf</t>
  </si>
  <si>
    <t>Gray / Duergar Dwarf</t>
  </si>
  <si>
    <t>Ghostwise Halfling</t>
  </si>
  <si>
    <t>http://forgottenrealms.wikia.com/wiki/Lightfoot_halfling</t>
  </si>
  <si>
    <t>http://forgottenrealms.wikia.com/wiki/Moon_elf</t>
  </si>
  <si>
    <t>Mountain / Shield Dwarf</t>
  </si>
  <si>
    <t>http://forgottenrealms.wikia.com/wiki/Shield_dwarf</t>
  </si>
  <si>
    <t>http://forgottenrealms.wikia.com/wiki/Mulan</t>
  </si>
  <si>
    <t>http://forgottenrealms.wikia.com/wiki/Nar_(ethnicity)</t>
  </si>
  <si>
    <t>http://forgottenrealms.wikia.com/wiki/Rashemi</t>
  </si>
  <si>
    <t>http://forgottenrealms.wikia.com/wiki/Rock_gnomes</t>
  </si>
  <si>
    <t>http://forgottenrealms.wikia.com/wiki/Shaaran</t>
  </si>
  <si>
    <t>Strongheart Halfling</t>
  </si>
  <si>
    <t>http://forgottenrealms.wikia.com/wiki/Strongheart_halfling</t>
  </si>
  <si>
    <t>http://forgottenrealms.wikia.com/wiki/Sun_elf</t>
  </si>
  <si>
    <t>http://forgottenrealms.wikia.com/wiki/Tethyrian</t>
  </si>
  <si>
    <t>http://forgottenrealms.wikia.com/wiki/Tuigan</t>
  </si>
  <si>
    <t>http://forgottenrealms.wikia.com/wiki/Ulutiun</t>
  </si>
  <si>
    <t>Ulutiiun</t>
  </si>
  <si>
    <t>http://forgottenrealms.wikia.com/wiki/Wild_elf</t>
  </si>
  <si>
    <t>http://forgottenrealms.wikia.com/wiki/Wood_elf</t>
  </si>
  <si>
    <t>RACE</t>
  </si>
  <si>
    <t>Arkaiun (Rural man)</t>
  </si>
  <si>
    <t>Racial Description Link</t>
  </si>
  <si>
    <t>Stats / N2</t>
  </si>
  <si>
    <t>min height f</t>
  </si>
  <si>
    <t>min height i</t>
  </si>
  <si>
    <t>max height f</t>
  </si>
  <si>
    <t>max height i</t>
  </si>
  <si>
    <t>Deep Imaskari</t>
  </si>
  <si>
    <t>http://forgottenrealms.wikia.com/wiki/Deep Imaskari</t>
  </si>
  <si>
    <t>Foraging: Underground</t>
  </si>
  <si>
    <t>Survival: Underground</t>
  </si>
  <si>
    <t>Hunting: Underground</t>
  </si>
  <si>
    <t>Lightfoot Halfling</t>
  </si>
  <si>
    <t>1.112</t>
  </si>
  <si>
    <t>Fixed several links in formulas</t>
  </si>
  <si>
    <t>Character sheet is now considered "ready to use"</t>
  </si>
  <si>
    <t>Finished racial height and weights</t>
  </si>
  <si>
    <t>Added Racial Description hyperlinks</t>
  </si>
  <si>
    <t>Fixed several typos in races and links</t>
  </si>
  <si>
    <t>Fixed Body Dev &amp; PP progression tables</t>
  </si>
  <si>
    <t>Tweaked some races a bit</t>
  </si>
  <si>
    <t>These are still subject to change!</t>
  </si>
  <si>
    <t>Size</t>
  </si>
  <si>
    <t>Medium</t>
  </si>
  <si>
    <t>Small</t>
  </si>
  <si>
    <t>Tiny</t>
  </si>
  <si>
    <t>Large</t>
  </si>
  <si>
    <t>Huge</t>
  </si>
  <si>
    <t>Gargantuan</t>
  </si>
  <si>
    <t>Height</t>
  </si>
  <si>
    <t>Miniscule</t>
  </si>
  <si>
    <t>diminutive</t>
  </si>
  <si>
    <t>tiny</t>
  </si>
  <si>
    <t>small</t>
  </si>
  <si>
    <t>medium</t>
  </si>
  <si>
    <t>big</t>
  </si>
  <si>
    <t>large</t>
  </si>
  <si>
    <t>huge</t>
  </si>
  <si>
    <t>gigantic</t>
  </si>
  <si>
    <t>enormous</t>
  </si>
  <si>
    <t>weight (kg)</t>
  </si>
  <si>
    <t>height (cm)</t>
  </si>
  <si>
    <t>Added size &amp; weight descriptions</t>
  </si>
  <si>
    <t>Mountain / Shield Dwarf Dwarf</t>
  </si>
  <si>
    <t>Added another racial description link</t>
  </si>
  <si>
    <t>N4</t>
  </si>
  <si>
    <t>1.113</t>
  </si>
  <si>
    <t>Fixed missing Adolescence Rank (Region Lore: own)</t>
  </si>
  <si>
    <t>Fixed mistype of Arkaiun race in PP/HP info table</t>
  </si>
  <si>
    <t>Directed Weapons Master (major)</t>
  </si>
  <si>
    <t xml:space="preserve">Removed a talent </t>
  </si>
  <si>
    <t>Changed default View settings as "normal"</t>
  </si>
  <si>
    <t>Previous one was "printing"</t>
  </si>
  <si>
    <t>1.114</t>
  </si>
  <si>
    <t>1.115</t>
  </si>
  <si>
    <t>Changed how levels are calculated</t>
  </si>
  <si>
    <t>Insert TOTAL XP only</t>
  </si>
  <si>
    <t>Lvl P1 / TotXP</t>
  </si>
  <si>
    <t>Lvl P2 / ToLVL</t>
  </si>
  <si>
    <t>1.116</t>
  </si>
  <si>
    <t>Changed weight calculation to lbs in inventory sheet</t>
  </si>
  <si>
    <t>This is for future item drop-down menu</t>
  </si>
  <si>
    <t>Weight Carried (kg)</t>
  </si>
  <si>
    <t>Weight (lbs)</t>
  </si>
  <si>
    <t>Sweetspots</t>
  </si>
  <si>
    <t>Added "Sweetspots" for stats</t>
  </si>
  <si>
    <t>24, 34, 44, 54, 64, 74, 84</t>
  </si>
  <si>
    <t>Stats / C7</t>
  </si>
  <si>
    <t>Stats / H126</t>
  </si>
  <si>
    <t>Stats / R13</t>
  </si>
  <si>
    <t>Changed training package skill "Power Perception" to "Attunement"</t>
  </si>
  <si>
    <t>Changed training package skill "Channeling" to "Absorb Power Points"</t>
  </si>
  <si>
    <t>Absorb Power Points 2</t>
  </si>
  <si>
    <t>Absorb Power Points 3</t>
  </si>
  <si>
    <t>Holy Symbol, +10 to Absorb Power Points (30)</t>
  </si>
  <si>
    <t>Attunement 2</t>
  </si>
  <si>
    <t>Backpack</t>
  </si>
  <si>
    <t>Bedroll (light)</t>
  </si>
  <si>
    <t>Bedroll (heavy)</t>
  </si>
  <si>
    <t>Boots</t>
  </si>
  <si>
    <t>Brush (writing)</t>
  </si>
  <si>
    <t>Bucket</t>
  </si>
  <si>
    <t>Caltrops</t>
  </si>
  <si>
    <t>Amount</t>
  </si>
  <si>
    <t>Arrows</t>
  </si>
  <si>
    <t>Candle</t>
  </si>
  <si>
    <t>Case</t>
  </si>
  <si>
    <t>Cask</t>
  </si>
  <si>
    <t>Chalk</t>
  </si>
  <si>
    <t>Charcoal</t>
  </si>
  <si>
    <t>Chisel</t>
  </si>
  <si>
    <t>Cloak</t>
  </si>
  <si>
    <t>Coat</t>
  </si>
  <si>
    <t>Fire-starting bow</t>
  </si>
  <si>
    <t>Crossbow bolts</t>
  </si>
  <si>
    <t>Climbing pick</t>
  </si>
  <si>
    <t>Flint and steel</t>
  </si>
  <si>
    <t>Framepack</t>
  </si>
  <si>
    <t>Gloves</t>
  </si>
  <si>
    <t>Grappling hook</t>
  </si>
  <si>
    <t>Hammer</t>
  </si>
  <si>
    <t>Hammock</t>
  </si>
  <si>
    <t>Harness</t>
  </si>
  <si>
    <t>Hat</t>
  </si>
  <si>
    <t>Hood</t>
  </si>
  <si>
    <t>Ink</t>
  </si>
  <si>
    <t>Ladder</t>
  </si>
  <si>
    <t>Lantern</t>
  </si>
  <si>
    <t>Lock pick kit</t>
  </si>
  <si>
    <t>Mirror</t>
  </si>
  <si>
    <t>Nails</t>
  </si>
  <si>
    <t>Oar</t>
  </si>
  <si>
    <t>Oil Flask</t>
  </si>
  <si>
    <t>Padded Undercoat</t>
  </si>
  <si>
    <t>Paddle</t>
  </si>
  <si>
    <t>Padlock</t>
  </si>
  <si>
    <t>Pants</t>
  </si>
  <si>
    <t>Paper</t>
  </si>
  <si>
    <t>Parchment</t>
  </si>
  <si>
    <t>Pegs</t>
  </si>
  <si>
    <t>Pitons</t>
  </si>
  <si>
    <t>Plank</t>
  </si>
  <si>
    <t>Pole</t>
  </si>
  <si>
    <t>Pot (cooking)</t>
  </si>
  <si>
    <t>Quill-pens</t>
  </si>
  <si>
    <t>Quiver</t>
  </si>
  <si>
    <t>Rope</t>
  </si>
  <si>
    <t>Rope (superior)</t>
  </si>
  <si>
    <t>Sack (50 lbs)</t>
  </si>
  <si>
    <t>Saddle</t>
  </si>
  <si>
    <t>Saddle bag</t>
  </si>
  <si>
    <t>Saw</t>
  </si>
  <si>
    <t>Scabbard (belt)</t>
  </si>
  <si>
    <t>Scabbard (shoulder)</t>
  </si>
  <si>
    <t>Shirt</t>
  </si>
  <si>
    <t>Spade</t>
  </si>
  <si>
    <t>Sundial</t>
  </si>
  <si>
    <t>Surcoat</t>
  </si>
  <si>
    <t>Tarp</t>
  </si>
  <si>
    <t>Tent</t>
  </si>
  <si>
    <t>Tinderbox</t>
  </si>
  <si>
    <t>Torch</t>
  </si>
  <si>
    <t>Vial</t>
  </si>
  <si>
    <t>Waterskin</t>
  </si>
  <si>
    <t>Weapon belt</t>
  </si>
  <si>
    <t>Wedge (staying)</t>
  </si>
  <si>
    <t>Wedge (splitting)</t>
  </si>
  <si>
    <t>Wire (gauge)</t>
  </si>
  <si>
    <t>Whistle</t>
  </si>
  <si>
    <t>Arm Greaves</t>
  </si>
  <si>
    <t>Leg Greaves</t>
  </si>
  <si>
    <t>Reinforced Leather Coat</t>
  </si>
  <si>
    <t>Reinf. Full-length Leather Coat</t>
  </si>
  <si>
    <t>Breastplate</t>
  </si>
  <si>
    <t>Target Shield</t>
  </si>
  <si>
    <t>Normal Shield</t>
  </si>
  <si>
    <t>Full Shield</t>
  </si>
  <si>
    <t>Wall Shield</t>
  </si>
  <si>
    <t>Leather Helm</t>
  </si>
  <si>
    <t>Superior Leather Helm</t>
  </si>
  <si>
    <t>Plate Helm</t>
  </si>
  <si>
    <t>Pot Helm</t>
  </si>
  <si>
    <t>Full Helm</t>
  </si>
  <si>
    <t>Visored Helm</t>
  </si>
  <si>
    <t>Aventail</t>
  </si>
  <si>
    <t>Leather Barding</t>
  </si>
  <si>
    <t>Chain Barding</t>
  </si>
  <si>
    <t>Plate Barding</t>
  </si>
  <si>
    <t>Leather Chanfron</t>
  </si>
  <si>
    <t>Plate Chanfron</t>
  </si>
  <si>
    <t>Leather Crinet</t>
  </si>
  <si>
    <t>Chain Crinet</t>
  </si>
  <si>
    <t>Plate Crinet</t>
  </si>
  <si>
    <t>Leather Bracer</t>
  </si>
  <si>
    <t>Plate Bracer</t>
  </si>
  <si>
    <t>Metal Gauntlet</t>
  </si>
  <si>
    <t>Item name</t>
  </si>
  <si>
    <t xml:space="preserve">Inventory </t>
  </si>
  <si>
    <t>worn</t>
  </si>
  <si>
    <t>Added drop-down item list to equipment section</t>
  </si>
  <si>
    <t>quiver</t>
  </si>
  <si>
    <t>backpack</t>
  </si>
  <si>
    <t>back</t>
  </si>
  <si>
    <t>-</t>
  </si>
  <si>
    <t>Supermaaginen ultramiekka</t>
  </si>
  <si>
    <t>+20 OB ja DB</t>
  </si>
  <si>
    <t xml:space="preserve"> - slay all</t>
  </si>
  <si>
    <t xml:space="preserve"> - kill the rest</t>
  </si>
  <si>
    <t>Axe</t>
  </si>
  <si>
    <t>Blowpipe</t>
  </si>
  <si>
    <t>Cat-o'-nine tails</t>
  </si>
  <si>
    <t>Claymore</t>
  </si>
  <si>
    <t>Crossbow, Heavy</t>
  </si>
  <si>
    <t>Crossbow, Light</t>
  </si>
  <si>
    <t>Dart</t>
  </si>
  <si>
    <t>Halbard</t>
  </si>
  <si>
    <t>Handaxe</t>
  </si>
  <si>
    <t>Jo</t>
  </si>
  <si>
    <t>Lasso</t>
  </si>
  <si>
    <t>Net (fishing)</t>
  </si>
  <si>
    <t>Net (gladiator)</t>
  </si>
  <si>
    <t>No-dachi</t>
  </si>
  <si>
    <t>Nunchaku</t>
  </si>
  <si>
    <t>Pick</t>
  </si>
  <si>
    <t>Sai</t>
  </si>
  <si>
    <t>Shuriken</t>
  </si>
  <si>
    <t>Tomahawk</t>
  </si>
  <si>
    <t>Tonfa</t>
  </si>
  <si>
    <t>Two-Hand Sword</t>
  </si>
  <si>
    <t>01-04</t>
  </si>
  <si>
    <t>01-05</t>
  </si>
  <si>
    <t>01</t>
  </si>
  <si>
    <t>01-07</t>
  </si>
  <si>
    <t>01-03</t>
  </si>
  <si>
    <t>Dirk</t>
  </si>
  <si>
    <t>01-08</t>
  </si>
  <si>
    <t>AT / Fumble</t>
  </si>
  <si>
    <t>01-06</t>
  </si>
  <si>
    <t>01-02</t>
  </si>
  <si>
    <t>Wooden shafts, goose feathers, and iron tips.</t>
  </si>
  <si>
    <t>Leather or canvas with wooden buckles. Holds 20 lbs. (1 cu’).</t>
  </si>
  <si>
    <t>Wool blanket and mat. Good for 2 seasons.</t>
  </si>
  <si>
    <t>Wool and fur blankets and mat. Good for 4 seasons.</t>
  </si>
  <si>
    <t>Leather with laces.</t>
  </si>
  <si>
    <t>Wooden shaft (4") with hair bristles. Leather cap for bristles.</t>
  </si>
  <si>
    <t>Copper (with wooden handle). Holds 3 gallons.</t>
  </si>
  <si>
    <t>Made of iron. Portable spike trap (each caltrop has 2" diameter).</t>
  </si>
  <si>
    <t>Wax or tallow. Lights d10' diameter. Burns approx. 2 hours.</t>
  </si>
  <si>
    <t>Water-resistant. Leather with leather straps. 12" x 3" x 6".</t>
  </si>
  <si>
    <t>Wooden (with iron strapping). Holds up to 4 gallons.</t>
  </si>
  <si>
    <t>Iron links (3" diameter). 10' long length.</t>
  </si>
  <si>
    <t>White drawing tools. 5" long sticks.</t>
  </si>
  <si>
    <t>Creates a hot fire. Brick burns for 4 hours</t>
  </si>
  <si>
    <t>Iron tool (+5 to carving maneuvers). Attacks as -40 dagger.</t>
  </si>
  <si>
    <t>Heavy linen or wool with tie clasp.</t>
  </si>
  <si>
    <t>Iron tool (+5 to climbing maneuvers). Attacks as -15 war mattock.</t>
  </si>
  <si>
    <t>Leather or heavy linen (with buttons or wooden fasteners).</t>
  </si>
  <si>
    <t>Wooden shafts, goose feather fletching, and iron tips.</t>
  </si>
  <si>
    <t>Simple fire-starting tool. Starts fire in 5 minutes.</t>
  </si>
  <si>
    <t>Simple fire-starting tool. Starts fire in 3 minutes.</t>
  </si>
  <si>
    <t>Wood, canvas, leather with wooden buckles. Holds 45 lbs. (2 cu’).</t>
  </si>
  <si>
    <t>Heavy leather. Lined with fur or linen.</t>
  </si>
  <si>
    <t>Iron tool (+10 to climbing maneuvers – grip fails on a 02-03).</t>
  </si>
  <si>
    <t>Iron tool. Attacks as a -30 mace (use mace breakage).</t>
  </si>
  <si>
    <t>Rope with wood spreaders and iron hooks.</t>
  </si>
  <si>
    <t>Leather with iron fittings. Includes bit and reins.</t>
  </si>
  <si>
    <t>Leather head covering.</t>
  </si>
  <si>
    <t>Linen covering for head and shoulders.</t>
  </si>
  <si>
    <t>Black, 2 ounces. Non-soluble.</t>
  </si>
  <si>
    <t>Wooden (10' long). Bears up to 400 lbs.</t>
  </si>
  <si>
    <t>Contains 2d10 tools (various construction). +5 skill bonus.</t>
  </si>
  <si>
    <t>Silvered glass (6"x4").</t>
  </si>
  <si>
    <t>Iron (3" long). BF = 1, Reliability = 95.</t>
  </si>
  <si>
    <t>Wooden (6'-8' long). BF = 1, Reliability = 85.</t>
  </si>
  <si>
    <t>Includes 1 pint oil (burns for 6 hours in a lantern).</t>
  </si>
  <si>
    <t>Heavy linen or wool (generall worn under armor). Gives AT 2.</t>
  </si>
  <si>
    <t>Wooden (4'-5'). BF = 3, Reliability = 80.</t>
  </si>
  <si>
    <t>Iron locking device. Comes with 2 keys.</t>
  </si>
  <si>
    <t>Linen with a draw string at the waist.</t>
  </si>
  <si>
    <t>Loose sheets (12"x6").</t>
  </si>
  <si>
    <t>Loose sheets. 12"x6". Very durable.</t>
  </si>
  <si>
    <t>Wooden climbing assistance (+5). BF = 4, Reliability = 75.</t>
  </si>
  <si>
    <t>Iron climbing assistance (+5). BF = 2, Reliability = 85.</t>
  </si>
  <si>
    <t>Wooden (10'x6"x2"). Bears up to 350 lbs.</t>
  </si>
  <si>
    <t>Wooden (10' x 2" diameter). BF = 3, Reliability = 70.</t>
  </si>
  <si>
    <t>Iron. Holds 2 gallons. Attacks as a -40 mace.</t>
  </si>
  <si>
    <t>Goose feathers.</t>
  </si>
  <si>
    <t>Leather/wood. Holds 20 arrows/bolts. Has shoulder sling.</t>
  </si>
  <si>
    <t>Hemp (50' length, 1" diameter).</t>
  </si>
  <si>
    <t>Hemp, reinforced with heavy cord (50' length, 1.5" diameter).</t>
  </si>
  <si>
    <t>Canvas (holds 50 lbs. and/or 3 cubic feet).</t>
  </si>
  <si>
    <t>Leather, wood, iron. Includes stirrups and a saddle blanket.</t>
  </si>
  <si>
    <t>Leather with wood/metal fittings (holds 15 lbs., 1.5 cubic feet).</t>
  </si>
  <si>
    <t>Iron blade (24"), wooden handle. Wood cutting tool.</t>
  </si>
  <si>
    <t>Leather with metal fittings. Holds one 1-handed weapon.</t>
  </si>
  <si>
    <t>Leather with metal fittings. Holds one 2-handed weapon.</t>
  </si>
  <si>
    <t>Linen.</t>
  </si>
  <si>
    <t>Iron blade/wooden shaft. Digging tool.</t>
  </si>
  <si>
    <t>Iron. Gives approximate time (on sunny days).</t>
  </si>
  <si>
    <t>Loose linen outer garment.</t>
  </si>
  <si>
    <t>Canvas (5' x 8').</t>
  </si>
  <si>
    <t>Canvas with metal fittings (5' x 8'; has poles). Two man.</t>
  </si>
  <si>
    <t>Wooden box filled with tender (enough for 7 fires).</t>
  </si>
  <si>
    <t>Wooden brand, one end pitch-coated. Lights 20' diameter (6 hrs).</t>
  </si>
  <si>
    <t>Glass with glass stopper. Holds 2 ounces.</t>
  </si>
  <si>
    <t>Leather patchwork. Holds 1 pint (approximately 0.5 lbs).</t>
  </si>
  <si>
    <t>Leather with metal fittings. Holds 2 scabbards and/or 3 pouches.</t>
  </si>
  <si>
    <t>Hardwood, triangular wedge of wood. Great as a door stop.</t>
  </si>
  <si>
    <t>Heavy iron wedge used in log-splitting.</t>
  </si>
  <si>
    <t>Spool of 100' of iron wire.</t>
  </si>
  <si>
    <t>About 4" long, made of wood and/or iron.</t>
  </si>
  <si>
    <t>Vest which covers abdomen.</t>
  </si>
  <si>
    <t>Protects vs. critical hits on the arms.</t>
  </si>
  <si>
    <t>Protects vs. critical hits on the legs.</t>
  </si>
  <si>
    <t>Protects most of legs.</t>
  </si>
  <si>
    <t>Protects legs and arms.</t>
  </si>
  <si>
    <t>Rigid vest which covers abdomen.</t>
  </si>
  <si>
    <t>Covers abdomen and half upper arms.</t>
  </si>
  <si>
    <t>Long-sleeved shirt and leggings.</t>
  </si>
  <si>
    <t>Long coat that covers arms and legs.</t>
  </si>
  <si>
    <t>2 piece, metal vest. Covers abdomen.</t>
  </si>
  <si>
    <t>Plate and chain. Covers whole body.</t>
  </si>
  <si>
    <t>Plate covering all exposed areas.</t>
  </si>
  <si>
    <t>+20 DB vs. melee; +10 DB vs. missile.</t>
  </si>
  <si>
    <t>+20 DB vs. melee or missile.</t>
  </si>
  <si>
    <t>+25 DB vs. melee or missile.</t>
  </si>
  <si>
    <t>+30 DB vs. melee; +40 DB vs. missile.</t>
  </si>
  <si>
    <t>Padded skullcap.</t>
  </si>
  <si>
    <t>Reinforced metal and leather.</t>
  </si>
  <si>
    <t>Interlocking, overlapping plates.</t>
  </si>
  <si>
    <t>Reinforced metal skullcap.</t>
  </si>
  <si>
    <t>Covers neck and face; has vent slits.</t>
  </si>
  <si>
    <t>Covers neck; movable face covering.</t>
  </si>
  <si>
    <t>Chain neck armor; attaches to helm.</t>
  </si>
  <si>
    <t>Covers horse’s trunk. -15 to maneuv.</t>
  </si>
  <si>
    <t>Covers horse’s trunk. -20 to maneuv.</t>
  </si>
  <si>
    <t>Covers horse’s trunk. -30 to maneuv.</t>
  </si>
  <si>
    <t>Covers horse’s head. Treat as helm.</t>
  </si>
  <si>
    <t>Covers horse’s neck. -5 to maneuv.</t>
  </si>
  <si>
    <t>Wrist-guard. 25% greave prot.</t>
  </si>
  <si>
    <t>Wrist-guard. 50% greave prot.</t>
  </si>
  <si>
    <t>+5 Martial Arts-Degree 1 OB</t>
  </si>
  <si>
    <t>Strength 56-64(w)</t>
  </si>
  <si>
    <t>Strength 68-82</t>
  </si>
  <si>
    <t>Strength 65-75(w)</t>
  </si>
  <si>
    <t>Strength 47-53(s)</t>
  </si>
  <si>
    <t>Strength —</t>
  </si>
  <si>
    <t>Strength 47-53(w)</t>
  </si>
  <si>
    <t>Strength 75-86</t>
  </si>
  <si>
    <t>Strength 56-64(s)</t>
  </si>
  <si>
    <t>Strength 46-54(w)</t>
  </si>
  <si>
    <t>Strength 73-87</t>
  </si>
  <si>
    <t>Strength 74-86</t>
  </si>
  <si>
    <t>Strength 38-42(w)</t>
  </si>
  <si>
    <t>Strength 65-75</t>
  </si>
  <si>
    <t>Strength 28-32</t>
  </si>
  <si>
    <t>Strength 76-92</t>
  </si>
  <si>
    <t>Strength 56-74(w)</t>
  </si>
  <si>
    <t>Strength 436-54(s)</t>
  </si>
  <si>
    <t>Strength 64-76</t>
  </si>
  <si>
    <t>Strength 74-86(w)</t>
  </si>
  <si>
    <t>Strength 66-74(w)</t>
  </si>
  <si>
    <t>Strength 38-42</t>
  </si>
  <si>
    <t>Strength 56-64</t>
  </si>
  <si>
    <t>Strength 55-65</t>
  </si>
  <si>
    <t>Strength 69-81</t>
  </si>
  <si>
    <t>Strength 65-75(s)</t>
  </si>
  <si>
    <t>Changed some parts of inventory section</t>
  </si>
  <si>
    <t>Raw Encumbrance penalty</t>
  </si>
  <si>
    <t>Raw Encumbrance penalty ratio</t>
  </si>
  <si>
    <t>Basic Weight Allowance kg</t>
  </si>
  <si>
    <t>Encumbrance Penalty (with ST bonus)</t>
  </si>
  <si>
    <t>Walk rate without encumbrance</t>
  </si>
  <si>
    <t>Added inventory weight to movement rates</t>
  </si>
  <si>
    <t>Checked armour encumbrance calculations</t>
  </si>
  <si>
    <t>Full notes</t>
  </si>
  <si>
    <t xml:space="preserve"> - no harm to elven maids</t>
  </si>
  <si>
    <t>Megalomaanisen kaunis "Bogon linko" (oikeasti ryöstöhintainen kopio)</t>
  </si>
  <si>
    <t>1.120</t>
  </si>
  <si>
    <t>Changed weight penalty calculations for gnomes and halflings</t>
  </si>
  <si>
    <t>Gnomes and halflings get weight*2 for allowance calculation</t>
  </si>
  <si>
    <t>Removed broken racial description link</t>
  </si>
  <si>
    <t>Stats / N3, N4</t>
  </si>
  <si>
    <t>Stats F41, L26-L48</t>
  </si>
  <si>
    <t>Fixed level calculations for single profession</t>
  </si>
  <si>
    <t>Stats / B7:C8</t>
  </si>
  <si>
    <t>Fixed language fetch from skills to stats</t>
  </si>
  <si>
    <t>Wrong cells were corrected</t>
  </si>
  <si>
    <t>Stats / G5:I7</t>
  </si>
  <si>
    <t>Spell – Own Realm Base CAT 0</t>
  </si>
  <si>
    <t>Spells – Own Realm Other Base CAT 0</t>
  </si>
  <si>
    <t>choice of one list 2 (costs as own base)</t>
  </si>
  <si>
    <t>Changed open lists from TP to Own Base lists (or similar)</t>
  </si>
  <si>
    <t>Only Concussion's Way remained for Theurgist</t>
  </si>
  <si>
    <t>Size to Human</t>
  </si>
  <si>
    <t>For item weights</t>
  </si>
  <si>
    <t>Real weight</t>
  </si>
  <si>
    <t>Sarake1</t>
  </si>
  <si>
    <t>Added racial weight multiplier for item weights</t>
  </si>
  <si>
    <t>Sarake2</t>
  </si>
  <si>
    <t>Sarake3</t>
  </si>
  <si>
    <t>Sarake4</t>
  </si>
  <si>
    <t>Sarake5</t>
  </si>
  <si>
    <t>Sarake6</t>
  </si>
  <si>
    <t>Sarake7</t>
  </si>
  <si>
    <t>Sarake8</t>
  </si>
  <si>
    <t>Sarake9</t>
  </si>
  <si>
    <t>Sarake10</t>
  </si>
  <si>
    <t>Sarake11</t>
  </si>
  <si>
    <t>Sarake12</t>
  </si>
  <si>
    <t>Sarake13</t>
  </si>
  <si>
    <t>Sarake14</t>
  </si>
  <si>
    <t>Sarake15</t>
  </si>
  <si>
    <t>Sarake16</t>
  </si>
  <si>
    <t>Sarake17</t>
  </si>
  <si>
    <t>Sarake18</t>
  </si>
  <si>
    <t>Sarake19</t>
  </si>
  <si>
    <t>Sarake20</t>
  </si>
  <si>
    <t>Sarake21</t>
  </si>
  <si>
    <t>Sarake22</t>
  </si>
  <si>
    <t>Sarake23</t>
  </si>
  <si>
    <t>Sarake24</t>
  </si>
  <si>
    <t>Separated INFO-sheet to Professions and Races sheets</t>
  </si>
  <si>
    <t>Tot. Stat Points</t>
  </si>
  <si>
    <t>Culture (choose)</t>
  </si>
  <si>
    <t>Main Race2</t>
  </si>
  <si>
    <t>POWER POINTS</t>
  </si>
  <si>
    <r>
      <t xml:space="preserve">+20 Animal Handling </t>
    </r>
    <r>
      <rPr>
        <b/>
        <sz val="7"/>
        <color rgb="FF000000"/>
        <rFont val="Arial"/>
        <family val="2"/>
      </rPr>
      <t>(</t>
    </r>
    <r>
      <rPr>
        <sz val="7"/>
        <color rgb="FF000000"/>
        <rFont val="Arial"/>
        <family val="2"/>
      </rPr>
      <t>horses</t>
    </r>
    <r>
      <rPr>
        <b/>
        <sz val="7"/>
        <color rgb="FF000000"/>
        <rFont val="Arial"/>
        <family val="2"/>
      </rPr>
      <t>)+20 Animal Handling (</t>
    </r>
    <r>
      <rPr>
        <sz val="7"/>
        <color rgb="FF000000"/>
        <rFont val="Arial"/>
        <family val="2"/>
      </rPr>
      <t>horses</t>
    </r>
    <r>
      <rPr>
        <b/>
        <sz val="7"/>
        <color rgb="FF000000"/>
        <rFont val="Arial"/>
        <family val="2"/>
      </rPr>
      <t>)+20 Animal Handling (</t>
    </r>
    <r>
      <rPr>
        <sz val="7"/>
        <color rgb="FF000000"/>
        <rFont val="Arial"/>
        <family val="2"/>
      </rPr>
      <t>horses</t>
    </r>
    <r>
      <rPr>
        <b/>
        <sz val="7"/>
        <color rgb="FF000000"/>
        <rFont val="Arial"/>
        <family val="2"/>
      </rPr>
      <t>)</t>
    </r>
  </si>
  <si>
    <r>
      <t xml:space="preserve">+20 Boat Piloting </t>
    </r>
    <r>
      <rPr>
        <b/>
        <sz val="7"/>
        <color rgb="FF000000"/>
        <rFont val="Arial"/>
        <family val="2"/>
      </rPr>
      <t>(</t>
    </r>
    <r>
      <rPr>
        <sz val="7"/>
        <color rgb="FF000000"/>
        <rFont val="Arial"/>
        <family val="2"/>
      </rPr>
      <t>river boat</t>
    </r>
    <r>
      <rPr>
        <b/>
        <sz val="7"/>
        <color rgb="FF000000"/>
        <rFont val="Arial"/>
        <family val="2"/>
      </rPr>
      <t>)+20 Boat Piloting (</t>
    </r>
    <r>
      <rPr>
        <sz val="7"/>
        <color rgb="FF000000"/>
        <rFont val="Arial"/>
        <family val="2"/>
      </rPr>
      <t>river boat</t>
    </r>
    <r>
      <rPr>
        <b/>
        <sz val="7"/>
        <color rgb="FF000000"/>
        <rFont val="Arial"/>
        <family val="2"/>
      </rPr>
      <t>)+20 Boat Piloting (</t>
    </r>
    <r>
      <rPr>
        <sz val="7"/>
        <color rgb="FF000000"/>
        <rFont val="Arial"/>
        <family val="2"/>
      </rPr>
      <t>river boat</t>
    </r>
    <r>
      <rPr>
        <b/>
        <sz val="7"/>
        <color rgb="FF000000"/>
        <rFont val="Arial"/>
        <family val="2"/>
      </rPr>
      <t>)</t>
    </r>
  </si>
  <si>
    <r>
      <t xml:space="preserve">+20 Animal Mastery </t>
    </r>
    <r>
      <rPr>
        <b/>
        <sz val="7"/>
        <color rgb="FF000000"/>
        <rFont val="Arial"/>
        <family val="2"/>
      </rPr>
      <t>(</t>
    </r>
    <r>
      <rPr>
        <sz val="7"/>
        <color rgb="FF000000"/>
        <rFont val="Arial"/>
        <family val="2"/>
      </rPr>
      <t>horses</t>
    </r>
    <r>
      <rPr>
        <b/>
        <sz val="7"/>
        <color rgb="FF000000"/>
        <rFont val="Arial"/>
        <family val="2"/>
      </rPr>
      <t>)+20 Animal Mastery (</t>
    </r>
    <r>
      <rPr>
        <sz val="7"/>
        <color rgb="FF000000"/>
        <rFont val="Arial"/>
        <family val="2"/>
      </rPr>
      <t>horses</t>
    </r>
    <r>
      <rPr>
        <b/>
        <sz val="7"/>
        <color rgb="FF000000"/>
        <rFont val="Arial"/>
        <family val="2"/>
      </rPr>
      <t>)+20 Animal Mastery (</t>
    </r>
    <r>
      <rPr>
        <sz val="7"/>
        <color rgb="FF000000"/>
        <rFont val="Arial"/>
        <family val="2"/>
      </rPr>
      <t>horses</t>
    </r>
    <r>
      <rPr>
        <b/>
        <sz val="7"/>
        <color rgb="FF000000"/>
        <rFont val="Arial"/>
        <family val="2"/>
      </rPr>
      <t>)</t>
    </r>
  </si>
  <si>
    <r>
      <t xml:space="preserve">+10 Riding </t>
    </r>
    <r>
      <rPr>
        <b/>
        <sz val="7"/>
        <color rgb="FF000000"/>
        <rFont val="Arial"/>
        <family val="2"/>
      </rPr>
      <t>(</t>
    </r>
    <r>
      <rPr>
        <sz val="7"/>
        <color rgb="FF000000"/>
        <rFont val="Arial"/>
        <family val="2"/>
      </rPr>
      <t>camel</t>
    </r>
    <r>
      <rPr>
        <b/>
        <sz val="7"/>
        <color rgb="FF000000"/>
        <rFont val="Arial"/>
        <family val="2"/>
      </rPr>
      <t>)+10 Riding (</t>
    </r>
    <r>
      <rPr>
        <sz val="7"/>
        <color rgb="FF000000"/>
        <rFont val="Arial"/>
        <family val="2"/>
      </rPr>
      <t>camel</t>
    </r>
    <r>
      <rPr>
        <b/>
        <sz val="7"/>
        <color rgb="FF000000"/>
        <rFont val="Arial"/>
        <family val="2"/>
      </rPr>
      <t>)+10 Riding (</t>
    </r>
    <r>
      <rPr>
        <sz val="7"/>
        <color rgb="FF000000"/>
        <rFont val="Arial"/>
        <family val="2"/>
      </rPr>
      <t>camel</t>
    </r>
    <r>
      <rPr>
        <b/>
        <sz val="7"/>
        <color rgb="FF000000"/>
        <rFont val="Arial"/>
        <family val="2"/>
      </rPr>
      <t>)</t>
    </r>
  </si>
  <si>
    <r>
      <t xml:space="preserve">+20 Animal Training </t>
    </r>
    <r>
      <rPr>
        <b/>
        <sz val="7"/>
        <color rgb="FF000000"/>
        <rFont val="Arial"/>
        <family val="2"/>
      </rPr>
      <t>(</t>
    </r>
    <r>
      <rPr>
        <sz val="7"/>
        <color rgb="FF000000"/>
        <rFont val="Arial"/>
        <family val="2"/>
      </rPr>
      <t>horses</t>
    </r>
    <r>
      <rPr>
        <b/>
        <sz val="7"/>
        <color rgb="FF000000"/>
        <rFont val="Arial"/>
        <family val="2"/>
      </rPr>
      <t>)+20 Animal Training (</t>
    </r>
    <r>
      <rPr>
        <sz val="7"/>
        <color rgb="FF000000"/>
        <rFont val="Arial"/>
        <family val="2"/>
      </rPr>
      <t>horses</t>
    </r>
    <r>
      <rPr>
        <b/>
        <sz val="7"/>
        <color rgb="FF000000"/>
        <rFont val="Arial"/>
        <family val="2"/>
      </rPr>
      <t>)+20 Animal Training (</t>
    </r>
    <r>
      <rPr>
        <sz val="7"/>
        <color rgb="FF000000"/>
        <rFont val="Arial"/>
        <family val="2"/>
      </rPr>
      <t>horses</t>
    </r>
    <r>
      <rPr>
        <b/>
        <sz val="7"/>
        <color rgb="FF000000"/>
        <rFont val="Arial"/>
        <family val="2"/>
      </rPr>
      <t>)</t>
    </r>
  </si>
  <si>
    <r>
      <t xml:space="preserve">+20 Riding </t>
    </r>
    <r>
      <rPr>
        <b/>
        <sz val="7"/>
        <color rgb="FF000000"/>
        <rFont val="Arial"/>
        <family val="2"/>
      </rPr>
      <t>(</t>
    </r>
    <r>
      <rPr>
        <sz val="7"/>
        <color rgb="FF000000"/>
        <rFont val="Arial"/>
        <family val="2"/>
      </rPr>
      <t>horse</t>
    </r>
    <r>
      <rPr>
        <b/>
        <sz val="7"/>
        <color rgb="FF000000"/>
        <rFont val="Arial"/>
        <family val="2"/>
      </rPr>
      <t>)+20 Riding (</t>
    </r>
    <r>
      <rPr>
        <sz val="7"/>
        <color rgb="FF000000"/>
        <rFont val="Arial"/>
        <family val="2"/>
      </rPr>
      <t>horse</t>
    </r>
    <r>
      <rPr>
        <b/>
        <sz val="7"/>
        <color rgb="FF000000"/>
        <rFont val="Arial"/>
        <family val="2"/>
      </rPr>
      <t>)+20 Riding (</t>
    </r>
    <r>
      <rPr>
        <sz val="7"/>
        <color rgb="FF000000"/>
        <rFont val="Arial"/>
        <family val="2"/>
      </rPr>
      <t>horse</t>
    </r>
    <r>
      <rPr>
        <b/>
        <sz val="7"/>
        <color rgb="FF000000"/>
        <rFont val="Arial"/>
        <family val="2"/>
      </rPr>
      <t>)</t>
    </r>
  </si>
  <si>
    <t>Crewelwork [craft]</t>
  </si>
  <si>
    <t>Channeling Spell lists (Open, Closed, Ranger base, Animist Base only)</t>
  </si>
  <si>
    <t>Open Channeling Lists</t>
  </si>
  <si>
    <t>Sarake25</t>
  </si>
  <si>
    <t>Sarake26</t>
  </si>
  <si>
    <t>Sarake27</t>
  </si>
  <si>
    <t>Sarake28</t>
  </si>
  <si>
    <t>Sarake29</t>
  </si>
  <si>
    <t>Sarake30</t>
  </si>
  <si>
    <t>Sarake31</t>
  </si>
  <si>
    <t>Sarake32</t>
  </si>
  <si>
    <t>Sarake33</t>
  </si>
  <si>
    <t>Sarake34</t>
  </si>
  <si>
    <t>Sarake35</t>
  </si>
  <si>
    <t>Sarake36</t>
  </si>
  <si>
    <t>Sarake37</t>
  </si>
  <si>
    <t>Sarake38</t>
  </si>
  <si>
    <t>Sarake39</t>
  </si>
  <si>
    <t>Sarake40</t>
  </si>
  <si>
    <t>Sarake41</t>
  </si>
  <si>
    <t>Sarake42</t>
  </si>
  <si>
    <t>Sarake43</t>
  </si>
  <si>
    <t>Sarake44</t>
  </si>
  <si>
    <t>Sarake45</t>
  </si>
  <si>
    <t>Sarake46</t>
  </si>
  <si>
    <t>Sarake47</t>
  </si>
  <si>
    <t>Sarake48</t>
  </si>
  <si>
    <t>Sarake49</t>
  </si>
  <si>
    <t>Sarake50</t>
  </si>
  <si>
    <t>Sarake51</t>
  </si>
  <si>
    <t>Sarake52</t>
  </si>
  <si>
    <t>Sarake53</t>
  </si>
  <si>
    <t>Sarake54</t>
  </si>
  <si>
    <t>Sarake55</t>
  </si>
  <si>
    <t>Sarake56</t>
  </si>
  <si>
    <t>Sarake57</t>
  </si>
  <si>
    <t>Sarake58</t>
  </si>
  <si>
    <t>Sarake59</t>
  </si>
  <si>
    <t>Sarake60</t>
  </si>
  <si>
    <t>Sarake61</t>
  </si>
  <si>
    <t>Sarake62</t>
  </si>
  <si>
    <t>Sarake63</t>
  </si>
  <si>
    <t>Sarake64</t>
  </si>
  <si>
    <t>Sarake65</t>
  </si>
  <si>
    <t>Sarake66</t>
  </si>
  <si>
    <t>Sarake67</t>
  </si>
  <si>
    <t>Sarake68</t>
  </si>
  <si>
    <t>Sarake69</t>
  </si>
  <si>
    <t>Sarake70</t>
  </si>
  <si>
    <t>Sarake71</t>
  </si>
  <si>
    <t>Sarake72</t>
  </si>
  <si>
    <t>Sarake73</t>
  </si>
  <si>
    <t>Sarake74</t>
  </si>
  <si>
    <t>Sarake75</t>
  </si>
  <si>
    <t>Sarake76</t>
  </si>
  <si>
    <t>Sarake77</t>
  </si>
  <si>
    <t>Sarake78</t>
  </si>
  <si>
    <t>Sarake79</t>
  </si>
  <si>
    <t>Sarake80</t>
  </si>
  <si>
    <t>Sarake81</t>
  </si>
  <si>
    <t>Sarake82</t>
  </si>
  <si>
    <t>Sarake83</t>
  </si>
  <si>
    <t>Sarake84</t>
  </si>
  <si>
    <t>Sarake85</t>
  </si>
  <si>
    <t>Sarake86</t>
  </si>
  <si>
    <t>Sarake87</t>
  </si>
  <si>
    <t>Sarake88</t>
  </si>
  <si>
    <t>Sarake89</t>
  </si>
  <si>
    <t>Sarake90</t>
  </si>
  <si>
    <t>Sarake91</t>
  </si>
  <si>
    <t>Sarake92</t>
  </si>
  <si>
    <t>Sarake93</t>
  </si>
  <si>
    <t>Sarake94</t>
  </si>
  <si>
    <t>Sarake95</t>
  </si>
  <si>
    <t>Sarake96</t>
  </si>
  <si>
    <t>Sarake97</t>
  </si>
  <si>
    <t>Sarake98</t>
  </si>
  <si>
    <t>Sarake99</t>
  </si>
  <si>
    <t>Sarake100</t>
  </si>
  <si>
    <t>Sarake101</t>
  </si>
  <si>
    <t>Sarake102</t>
  </si>
  <si>
    <t>Sarake103</t>
  </si>
  <si>
    <t>Skills</t>
  </si>
  <si>
    <t>Hobby Skills</t>
  </si>
  <si>
    <t>Standard</t>
  </si>
  <si>
    <t>Language Ranks</t>
  </si>
  <si>
    <t>Common Orc North</t>
  </si>
  <si>
    <t>Drow2</t>
  </si>
  <si>
    <t>Dwarf3</t>
  </si>
  <si>
    <t>Dwarf4</t>
  </si>
  <si>
    <t>Elf5</t>
  </si>
  <si>
    <t>Elf6</t>
  </si>
  <si>
    <t>Elf7</t>
  </si>
  <si>
    <t>Elf8</t>
  </si>
  <si>
    <t>Elf9</t>
  </si>
  <si>
    <t>Gnome10</t>
  </si>
  <si>
    <t>Gnome11</t>
  </si>
  <si>
    <t>Halfling12</t>
  </si>
  <si>
    <t>Halfling13</t>
  </si>
  <si>
    <t>Human14</t>
  </si>
  <si>
    <t>Human15</t>
  </si>
  <si>
    <t>Human16</t>
  </si>
  <si>
    <t>Human17</t>
  </si>
  <si>
    <t>Human18</t>
  </si>
  <si>
    <t>Human19</t>
  </si>
  <si>
    <t>Human20</t>
  </si>
  <si>
    <t>Human21</t>
  </si>
  <si>
    <t>Human22</t>
  </si>
  <si>
    <t>Human23</t>
  </si>
  <si>
    <t>Human24</t>
  </si>
  <si>
    <t>Human25</t>
  </si>
  <si>
    <t>Human26</t>
  </si>
  <si>
    <t>Human27</t>
  </si>
  <si>
    <t>Human28</t>
  </si>
  <si>
    <t>Human29</t>
  </si>
  <si>
    <t>Human30</t>
  </si>
  <si>
    <t>Orc31</t>
  </si>
  <si>
    <t>Arhunerim32</t>
  </si>
  <si>
    <t>Common man33</t>
  </si>
  <si>
    <t>High Men34</t>
  </si>
  <si>
    <t>High Men35</t>
  </si>
  <si>
    <t>High Men36</t>
  </si>
  <si>
    <t>High Men37</t>
  </si>
  <si>
    <t>High Men38</t>
  </si>
  <si>
    <t>High Men39</t>
  </si>
  <si>
    <t>High Men40</t>
  </si>
  <si>
    <t>Dwarf41</t>
  </si>
  <si>
    <t>Eriedain42</t>
  </si>
  <si>
    <t>Eriedain43</t>
  </si>
  <si>
    <t>Eriedain44</t>
  </si>
  <si>
    <t>Eriedain45</t>
  </si>
  <si>
    <t>Eriedain46</t>
  </si>
  <si>
    <t>Eriedain47</t>
  </si>
  <si>
    <t>Eriedain48</t>
  </si>
  <si>
    <t>Eriedain49</t>
  </si>
  <si>
    <t>Hobbit50</t>
  </si>
  <si>
    <t>Hobbit51</t>
  </si>
  <si>
    <t>Lossoth52</t>
  </si>
  <si>
    <t>Lossoth53</t>
  </si>
  <si>
    <t>Lossoth54</t>
  </si>
  <si>
    <t>Talatherim55</t>
  </si>
  <si>
    <t>Talatherim56</t>
  </si>
  <si>
    <t>Talatherim57</t>
  </si>
  <si>
    <t>Talatherim58</t>
  </si>
  <si>
    <t>Talatherim59</t>
  </si>
  <si>
    <t>Talatherim60</t>
  </si>
  <si>
    <t>Talatherim61</t>
  </si>
  <si>
    <t>Talatherim62</t>
  </si>
  <si>
    <t>Trolls63</t>
  </si>
  <si>
    <t>Trolls64</t>
  </si>
  <si>
    <t>Trolls65</t>
  </si>
  <si>
    <t>Trolls66</t>
  </si>
  <si>
    <t>Trolls67</t>
  </si>
  <si>
    <t>SKIN</t>
  </si>
  <si>
    <t>EYES</t>
  </si>
  <si>
    <t>HAIR</t>
  </si>
  <si>
    <t>82</t>
  </si>
  <si>
    <t>83</t>
  </si>
  <si>
    <t>84</t>
  </si>
  <si>
    <t>85</t>
  </si>
  <si>
    <t>86</t>
  </si>
  <si>
    <t>87</t>
  </si>
  <si>
    <t>88</t>
  </si>
  <si>
    <t>89</t>
  </si>
  <si>
    <t>810</t>
  </si>
  <si>
    <t>811</t>
  </si>
  <si>
    <t>812</t>
  </si>
  <si>
    <t>813</t>
  </si>
  <si>
    <t>814</t>
  </si>
  <si>
    <t>815</t>
  </si>
  <si>
    <t>816</t>
  </si>
  <si>
    <t>817</t>
  </si>
  <si>
    <t>818</t>
  </si>
  <si>
    <t>719</t>
  </si>
  <si>
    <t>720</t>
  </si>
  <si>
    <t>721</t>
  </si>
  <si>
    <t>722</t>
  </si>
  <si>
    <t>723</t>
  </si>
  <si>
    <t>724</t>
  </si>
  <si>
    <t>725</t>
  </si>
  <si>
    <t>726</t>
  </si>
  <si>
    <t>727</t>
  </si>
  <si>
    <t>728</t>
  </si>
  <si>
    <t>729</t>
  </si>
  <si>
    <t>730</t>
  </si>
  <si>
    <t>731</t>
  </si>
  <si>
    <t>732</t>
  </si>
  <si>
    <t>733</t>
  </si>
  <si>
    <t>734</t>
  </si>
  <si>
    <t>735</t>
  </si>
  <si>
    <t>736</t>
  </si>
  <si>
    <t>737</t>
  </si>
  <si>
    <t>838</t>
  </si>
  <si>
    <t>839</t>
  </si>
  <si>
    <t>840</t>
  </si>
  <si>
    <t>841</t>
  </si>
  <si>
    <t>842</t>
  </si>
  <si>
    <t>743</t>
  </si>
  <si>
    <t>844</t>
  </si>
  <si>
    <t>845</t>
  </si>
  <si>
    <t>846</t>
  </si>
  <si>
    <t>847</t>
  </si>
  <si>
    <t>848</t>
  </si>
  <si>
    <t>849</t>
  </si>
  <si>
    <t>850</t>
  </si>
  <si>
    <t>851</t>
  </si>
  <si>
    <t>852</t>
  </si>
  <si>
    <t>853</t>
  </si>
  <si>
    <t>854</t>
  </si>
  <si>
    <t>855</t>
  </si>
  <si>
    <t>856</t>
  </si>
  <si>
    <t>857</t>
  </si>
  <si>
    <t>858</t>
  </si>
  <si>
    <t>859</t>
  </si>
  <si>
    <t>860</t>
  </si>
  <si>
    <t>861</t>
  </si>
  <si>
    <t>862</t>
  </si>
  <si>
    <t>863</t>
  </si>
  <si>
    <t>864</t>
  </si>
  <si>
    <t>865</t>
  </si>
  <si>
    <t>866</t>
  </si>
  <si>
    <t>867</t>
  </si>
  <si>
    <t>868</t>
  </si>
  <si>
    <t>869</t>
  </si>
  <si>
    <t>870</t>
  </si>
  <si>
    <t>871</t>
  </si>
  <si>
    <t>872</t>
  </si>
  <si>
    <t>873</t>
  </si>
  <si>
    <t>874</t>
  </si>
  <si>
    <t>875</t>
  </si>
  <si>
    <t>876</t>
  </si>
  <si>
    <t>877</t>
  </si>
  <si>
    <t>878</t>
  </si>
  <si>
    <t>879</t>
  </si>
  <si>
    <t>880</t>
  </si>
  <si>
    <t>881</t>
  </si>
  <si>
    <t>882</t>
  </si>
  <si>
    <t>883</t>
  </si>
  <si>
    <t>884</t>
  </si>
  <si>
    <t>885</t>
  </si>
  <si>
    <t>886</t>
  </si>
  <si>
    <t>887</t>
  </si>
  <si>
    <t>888</t>
  </si>
  <si>
    <t>889</t>
  </si>
  <si>
    <t>890</t>
  </si>
  <si>
    <t>891</t>
  </si>
  <si>
    <t>892</t>
  </si>
  <si>
    <t>893</t>
  </si>
  <si>
    <t>894</t>
  </si>
  <si>
    <t>895</t>
  </si>
  <si>
    <t>896</t>
  </si>
  <si>
    <t>897</t>
  </si>
  <si>
    <t>898</t>
  </si>
  <si>
    <t>899</t>
  </si>
  <si>
    <t>Hakua varten</t>
  </si>
  <si>
    <t>Everyoman</t>
  </si>
  <si>
    <t>Orc North</t>
  </si>
  <si>
    <t>Included races from Mökkisaari</t>
  </si>
  <si>
    <t>Stride</t>
  </si>
  <si>
    <t>Weight ratio</t>
  </si>
  <si>
    <t>Minus</t>
  </si>
  <si>
    <t>Weight allowance bonus</t>
  </si>
  <si>
    <t xml:space="preserve">Magical Armour Name </t>
  </si>
  <si>
    <t>Social Status Roll</t>
  </si>
  <si>
    <t>1.200</t>
  </si>
  <si>
    <t>Removed random stuff from random places</t>
  </si>
  <si>
    <t>Let's hope nothing breaks</t>
  </si>
  <si>
    <t>Preserved.</t>
  </si>
  <si>
    <t>Trail rations (1 day)</t>
  </si>
  <si>
    <t>Greatbread (1 day)</t>
  </si>
  <si>
    <t>Waybread (1 day)</t>
  </si>
  <si>
    <t>Preserved. Also known as Lembas.</t>
  </si>
  <si>
    <t>Preserved. Made by Dwarves.</t>
  </si>
  <si>
    <t>Spells: Own Realm Own Base:</t>
  </si>
  <si>
    <t>Separated base lists for dual caster professions</t>
  </si>
  <si>
    <t>Skills / A338:D351</t>
  </si>
  <si>
    <t>Huom! Jos moniammattihahmo saa kaksi (tai kolme) eri taikuuden alaa, niin korvaa soluihin C39 ja D39 käsin oikea ala viereisestä taulukosta! Tällöin power pointtien laskenta tulee hybridin tai arcanen mukaan, mutta loitsulistojen maksut eivät muutu!</t>
  </si>
  <si>
    <t xml:space="preserve">Kuinka maagisen panssarin vaikutus liike-, nopeus- ja ampuma-asemiinuksiin lasketaan? Maaginen panssari käsitellään superior designina, sekä vain 0,85% normaalin panoisena. Superior design antaa +10 muutoksen kaikkiin haittoihin; minimi- ja maksimiliikkumiseen, nopeuteen ja ampuma-aseseen. Paino sitten vähentää kertoimensa verran kaikkia miinuksia. Saman efektin saisi siis periaatteessa, jos löytää kevyemmän panssarin, joka on tehty todella laadukkaasti. </t>
  </si>
  <si>
    <t>1st trait</t>
  </si>
  <si>
    <t>2nd trait</t>
  </si>
  <si>
    <t>3rd trait</t>
  </si>
  <si>
    <t>suljettu d100</t>
  </si>
  <si>
    <t>Personality Trait</t>
  </si>
  <si>
    <t>Roll again; the “2nd roll” to determine where in the range the role trait falls receives a -20 modification.</t>
  </si>
  <si>
    <t>Roll again; the “2nd roll” to determine where in the range the role trait falls receives a +20 modification.</t>
  </si>
  <si>
    <t xml:space="preserve">Sullen, Morose, Somber, Serious --- Lighthearted, Cheerful, Joyous  </t>
  </si>
  <si>
    <t xml:space="preserve">Merciful, Compassionate, Kind --- Uncaring, Mean, Ruthless, Cruel  </t>
  </si>
  <si>
    <t xml:space="preserve">Austere, Sober, Restrained, Temperate, Moderate --- Unrestrained, Indulgent  </t>
  </si>
  <si>
    <t xml:space="preserve">Docile, Pliable, Amenable, Cooperative --- Stubborn, Obstinate   </t>
  </si>
  <si>
    <t xml:space="preserve">Martyr, Overprotective, Protective --- Intimidating, Overbearing, Bully   </t>
  </si>
  <si>
    <t xml:space="preserve">Radical, Liberal, Open-minded --- Orthodox, Conservative, Reactionary   </t>
  </si>
  <si>
    <t xml:space="preserve">Loving, Friendly, Amicable --- Quarrelsome, Hostile, Antagonistic   </t>
  </si>
  <si>
    <t xml:space="preserve">Prudent, Patient, Cautious --- Impatient, Impulsive, Reckless, Rash  </t>
  </si>
  <si>
    <t xml:space="preserve">Confident, Sanguine, Secure --- Nervous, Apprehensive, Daunted   </t>
  </si>
  <si>
    <t xml:space="preserve">Extrovert, Outgoing, Talkative --- Reserved, Shy, Timid, Introvert  </t>
  </si>
  <si>
    <t xml:space="preserve">Pacific, Nonviolent, Peaceful --- Pugnacious, Belligerent, Bellicose   </t>
  </si>
  <si>
    <t>Meek, Self-effacing, Modest, Humble --- Proud, Conceited, Cocky, Pompous, Arrogant</t>
  </si>
  <si>
    <t>Lethargic, Lazy, Idle, Easy Going, Laid Back --- Vibrant, Energetic, Enterprising, Ambitious</t>
  </si>
  <si>
    <t>Deferential, Respectful, Courteous, Polite, Civil --- Impolite, Rude, Impudent, Insolent</t>
  </si>
  <si>
    <t>Deferential, Respectful, Courteous, Polite, Civil --- Impolite, Rude,</t>
  </si>
  <si>
    <t xml:space="preserve">Charitable, Forgiving --- Vindictive, Vengeful ---  </t>
  </si>
  <si>
    <t xml:space="preserve">Charitable, Forgiving --- Vindictive, Vengeful   </t>
  </si>
  <si>
    <t xml:space="preserve">Benevolent, Generous, Giving --- Selfish, Miserly, Greedy </t>
  </si>
  <si>
    <t xml:space="preserve">Honest, Direct, Trustworthy --- Shifty, Deceitful, Dishonest </t>
  </si>
  <si>
    <t xml:space="preserve">Honorable, High-principled --- Dishonorable    </t>
  </si>
  <si>
    <t xml:space="preserve">Loyal, Faithful, Reliable --- Treacherous, Disloyal  </t>
  </si>
  <si>
    <t xml:space="preserve">Lawful, Just, Upright --- Arbitrary, Chaotic, Corrupt </t>
  </si>
  <si>
    <t xml:space="preserve">Moral, Ethical, Principled --- Amoral, Immoral  </t>
  </si>
  <si>
    <t xml:space="preserve">Pious, Devout, Religious --- Impious   </t>
  </si>
  <si>
    <t xml:space="preserve">Quixotic, Idealistic --- Practical, Pragmatic, Cynical  </t>
  </si>
  <si>
    <t xml:space="preserve">Gullible, Trusting --- Skeptical, Suspicious, Pa  </t>
  </si>
  <si>
    <t xml:space="preserve">Curious, Inquisitive --- Apathetic, Incurious   </t>
  </si>
  <si>
    <t xml:space="preserve">Focused, Attentive --- Distracted, Absentminded   </t>
  </si>
  <si>
    <t xml:space="preserve">Continent, Chaste --- Lustful, Licentious, Lecherous  </t>
  </si>
  <si>
    <t xml:space="preserve">Quiet, Reserved --- Flamboyant, Boisterous, Loud  </t>
  </si>
  <si>
    <t>Valorous, Brave, Bold, Audacious --- Timid, Cowardly, Craven</t>
  </si>
  <si>
    <t xml:space="preserve">Passive, Detached, Calm --- Forceful, Enthusiastic, Excitable </t>
  </si>
  <si>
    <t xml:space="preserve">Calm, Even-tempered --- Quick-Tempered, Hot-headed   </t>
  </si>
  <si>
    <t xml:space="preserve">Stoic, Impassive, Stolid --- Complainer   </t>
  </si>
  <si>
    <t xml:space="preserve">Sociable, Gregarious --- Antisocial, Cold   </t>
  </si>
  <si>
    <t xml:space="preserve">Optimistic, Upbeat --- Uncertain, Cynical, Fatalistic, Pessimistic </t>
  </si>
  <si>
    <t xml:space="preserve">Creative, Inventive, Original --- Conformist, Uncreative  </t>
  </si>
  <si>
    <t xml:space="preserve">Tolerant, Open-minded --- Snobbish, Prejudiced, Intolerant  </t>
  </si>
  <si>
    <t xml:space="preserve">Disordered, Messy --- Orderly, Perfectionist   </t>
  </si>
  <si>
    <t xml:space="preserve">Tolerant, Understanding --- Envious, Possessive, Jealous  </t>
  </si>
  <si>
    <t xml:space="preserve">Dependent, Clinging --- Self-reliant, Independent   </t>
  </si>
  <si>
    <t>Motivation Traits</t>
  </si>
  <si>
    <t>Destroy: evil, dark lord’s forces, race/culture, country, guild, population center, individual, etc.</t>
  </si>
  <si>
    <t>Hate &amp; Work Against: evil, dark lord’s forces, race/culture, country, guild, population center, individual, etc.</t>
  </si>
  <si>
    <t>Hate: evil, dark lord’s forces, race/culture, country, guild, population center, individual, etc.</t>
  </si>
  <si>
    <t>Dislike: evil, dark lord’s forces, race/culture, country, guild, population center, individual, etc.</t>
  </si>
  <si>
    <t>Revenge against: individual, family, clan, race/culture, population center, guild, etc.</t>
  </si>
  <si>
    <t>Preserve: individual, family, clan, ruler, country, race/culture, population center, guild, etc.</t>
  </si>
  <si>
    <t>Protect: individual, family, clan, ruler, country, race/culture, population center, guild, “the weak,” etc.</t>
  </si>
  <si>
    <t>Serve: individual, family, clan, ruler, country, race/culture, population center, guild, etc.</t>
  </si>
  <si>
    <t>Promote: peace, freedom, justice, religion, morality, war, free enterprise, etc.</t>
  </si>
  <si>
    <t>Rebuild/Restart: guild, population center, religion, clan, dynasty, etc.</t>
  </si>
  <si>
    <t>Fanatic about: spreading religion, freedom, cleanliness, law &amp; order, etc.</t>
  </si>
  <si>
    <t>Compulsive about: spreading religion, freedom, cleanliness, law &amp; order, etc.</t>
  </si>
  <si>
    <t>Fear of (Phobia): heights, darkness, water, etc.</t>
  </si>
  <si>
    <t>Acquire xxx for yyy: “xxx” is wealth, power, knowledge, magic items, etc. “yyy” is a ruler, country, race/culture, guild, religion, clan, population center, etc.</t>
  </si>
  <si>
    <t>Acquire Personal: power, knowledge, magic items, pleasure, fame, etc.</t>
  </si>
  <si>
    <t>Acquire and Maintain Personal Honor</t>
  </si>
  <si>
    <t>Adventure, Thrills, Excitement</t>
  </si>
  <si>
    <t>Self-centered, general self-interest</t>
  </si>
  <si>
    <t>Heroism</t>
  </si>
  <si>
    <t>“Make the World a Better Place”</t>
  </si>
  <si>
    <t>Motivation Traits: Make a roll (not open-ended) to determine the first part of the role trait. If necessary, you or your GM may choose the rest of the trait.</t>
  </si>
  <si>
    <t>4th trait</t>
  </si>
  <si>
    <t>Added personality and motivation traits for fun</t>
  </si>
  <si>
    <t>In case someone wants to randomise those</t>
  </si>
  <si>
    <t>Personality Traits: Make the 1st roll (not open-ended) to determine the “range of the role trait.” Then make a 2nd roll (not open-ended) to get a general idea where in the range your character’s role trait falls (low results to the left in the range and high results to the right in the range ).</t>
  </si>
  <si>
    <t>"Left or Right" Roll (small = left)</t>
  </si>
  <si>
    <t>Changed font from Times New Roman to Arial</t>
  </si>
  <si>
    <t>Talents points used</t>
  </si>
  <si>
    <t>Flaw points gained</t>
  </si>
  <si>
    <t>Talent points from race</t>
  </si>
  <si>
    <t>Added extra slot for flaws</t>
  </si>
  <si>
    <t>Long Flaws &amp; Talents descriptions</t>
  </si>
  <si>
    <t>Flaw / Talent</t>
  </si>
  <si>
    <t>You have set rules that govern your actions. These rules are enforced only by yourself. It is a code you try to live up to. As there are many types of codes, you may choose what kind of code you follow (subject to GM approval). For example, you may always support the underdog even if you do not agree with them If there are any enemies of yours who know of your code, they could use it against you, forcing you into a situation that you would rather avoid. You cannot do something against your personal code. If you do, you will face a serious crisis of belief. Your code of honor must contain at least three situations, and your actions in those situations. For example, a thief might only steal from people who can afford to lose money, never betray an honorable foe, and always bestow rich gifts on a lady.</t>
  </si>
  <si>
    <t>You have earned the disfavor of a particular god,demi-god, or equally powerful entity. The reasons for thisare left up to the GM to decide, but they should involvesome conscious action you did to anger the god. The godwill do his best to make your life as miserable as possible.A paladin may be sent on a quest to slay you, a god ofweather may make it always rain on you, a forest wouldnot be a safe place if you enraged a goddess of nature,etc. The exact specifics are left up to the GM. Howeverthe god would rarely, if ever, come down and physicallychallenge the offender (after all, that is what his legionsof followers are for).</t>
  </si>
  <si>
    <t xml:space="preserve">You receive a special bonus of +20 to your Athletic • Gymnastics skill Category. </t>
  </si>
  <si>
    <t>You may learn and use one Arcane • Open spell list as an Own Realm • Open list</t>
  </si>
  <si>
    <t>Arcane Discovery (minor)</t>
  </si>
  <si>
    <t>Talent (5806 RMFRP with house rules)</t>
  </si>
  <si>
    <t>The Ambush skill is classified as everyman for you.</t>
  </si>
  <si>
    <t>+20 to Athletic categories. Choose three athletic skills that maybe classified as everyman skill</t>
  </si>
  <si>
    <t>+10 to one Athletic category. Choose one skill from chosen category that maybe classified as everyman skill.</t>
  </si>
  <si>
    <t>You receive a special bonus of +25 to your Poison Lore, Use/Remove Poison, Silent Kill, Stalk, Hide and Ambush maneuvers (not to critical modifications).</t>
  </si>
  <si>
    <t xml:space="preserve">One weapon skill may be classified as everyman. </t>
  </si>
  <si>
    <t>You are very skilled at intentionally disarming a foe. You receive a special bonus of +20 to all attempts to disarm a foe using either Disarm Foe (Armed) or Disarm Foe (Unarmed)</t>
  </si>
  <si>
    <t xml:space="preserve">You receive a special bonus of +25 to all Meditation maneuvers and a special bonus of +10 to your Poetic Improvisation and Tale Telling skills. </t>
  </si>
  <si>
    <t>You receive a special bonus of +20 to all armor categories. You may also choose two weapon categories where all skills in the category are classified as everyman.</t>
  </si>
  <si>
    <t>You have either studied a language in depth, or lived in an area that uses that language constantly. You are completely fluent in this language and can speak and read it like a native. In fact, you probably know how to read and write better than most natives. This ability grants you 20 extra ranks to apply to both spoken and written ranks for your starting languages (subject to the normal guidelines).</t>
  </si>
  <si>
    <t>You receive a special bonus of +5 to all of your weapon categories.</t>
  </si>
  <si>
    <t>You receive a special bonus of +10 to all of your weapon categories.</t>
  </si>
  <si>
    <t xml:space="preserve">You receive a special bonus of +35 to your Mapping and Direction Sense skills. You have a special bonus of +25 to your Navigation skill for a given area if you have seen a map of it and have studied it for more than ten minutes. </t>
  </si>
  <si>
    <t>You receive a special bonus of +25 to one chosen Athletic • Gymnastic skill. You also receive a special bonus of +25 to your Adrenal Leaping, Adrenal Landing, or Adrenal Balance skill (your choice).</t>
  </si>
  <si>
    <t>You naturally recognize herbs and poisons and may use them. You also receive a special bonus of +20 to all of your Cooking, Foraging, Use Prepared Herbs, Prepare Herbs, Poison Lore, and Herb Lore maneuvers.</t>
  </si>
  <si>
    <t>You can withstand more pain than a normal person. When determining your available concussion hits you may add a +1 to each Body Development rank your purchase. For example, if your Body Development progression is normally 0 • 6 • 4 • 2 • 1, you will gain 7 points for the first ten ranks, 5 for the second ten, etc.</t>
  </si>
  <si>
    <t>You can withstand more pain than a normal person. When determining your available concussion hits you may add a +2 to each Body Development rank your purchase.</t>
  </si>
  <si>
    <t>You can withstand more pain than a normal person. When determining your available concussion hits you may add a +4 to each Body Development rank your purchase.</t>
  </si>
  <si>
    <t>You can withstand more pain than a normal person. When determining your available concussion hits you may add a +6 to each Body Development rank your purchase.</t>
  </si>
  <si>
    <t xml:space="preserve">You receive a special bonus of +15 to your Time Sense skill and Time Sense is classified as an occupational skill for you. </t>
  </si>
  <si>
    <t>You can judge angles and changes in the slant of relatively uniform, solid surfaces. You can tell the angle of an incline almost immediately. You receive a special bonus of +25 bonus when attempting to perceive traps or secret doors that are set in walls, floors, or ceilings.</t>
  </si>
  <si>
    <t>You have a special bonus or +40 to your Weapon Evaluation skill</t>
  </si>
  <si>
    <t>You receive a special bonus of +5 to your initiative rolls. You receive no penalty for snap actions, but only receive a +5 for deliberate actions.</t>
  </si>
  <si>
    <t xml:space="preserve">You receive a special bonus of +5 to your Martial Arts group, Self Control category, and to Special Defenses. </t>
  </si>
  <si>
    <t xml:space="preserve">You receive a special bonus of +15 to your Martial Arts group, Self Control category, and to Special Defenses. </t>
  </si>
  <si>
    <t xml:space="preserve">You receive a special bonus of +10 to your Martial Arts group, Self Control category, and to Special Defenses. </t>
  </si>
  <si>
    <t>You receive a 25% increase to all bow ranges and you receive a special bonus of +5 to your Missile Weapon category.</t>
  </si>
  <si>
    <t xml:space="preserve">You receive a special bonus of +10 to your Armor group. One Armor skill is classified as everyman. </t>
  </si>
  <si>
    <t xml:space="preserve">You receive a special bonus of +25 to all maneuvers involving horses. </t>
  </si>
  <si>
    <t>All weapon skills are classified as everyman.</t>
  </si>
  <si>
    <t xml:space="preserve">You receive a special bonus of +50 to all Foraging, fire starting, and shelter location maneuvers while you are outdoors. You also receive a special bonus of +20 to all Tracking, Hunting, Stalk, and Hide maneuvers while you are outdoors. </t>
  </si>
  <si>
    <t>All of your encumbrance penalties are halved.</t>
  </si>
  <si>
    <t xml:space="preserve">You have 3 extra ranks of spells. Only your own base spells may be chosen. </t>
  </si>
  <si>
    <t xml:space="preserve">You have 10 extra ranks of spells. Only your own base spells may be chosen. </t>
  </si>
  <si>
    <t>Your race is known for a group of skills. You may pick up to 6 skills that are related somehow (subject to GM approval). You will receive a special bonus of +10 for those skills due to your upbringing. You can't choose weapon skills.</t>
  </si>
  <si>
    <t>Your race is known for a group of skills. You may pick up to 6 skills that are related somehow (subject to GM approval). You will receive a special bonus of +20 for those skills due to your upbringing. You can't choose weapon skills.</t>
  </si>
  <si>
    <t>You receive a special bonus of +20 to Shield Bash skill.</t>
  </si>
  <si>
    <t>You may receive a special bonus of +5 to one skill category, or receive a special bonus of +10 to one specific skill. A skill category or skill may only be chosen if its bonus progression is combined or standard. You may only purchase this ability once for a given skill or skill category. Only secondary skills or groups with only secondary skills.</t>
  </si>
  <si>
    <t>You may receive a special bonus of +10 to one skill category, or receive a special bonus of +20 to one specific skill. A skill category or skill may only be chosen if its bonus progression is combined or standard. You may only purchase this ability once for a given skill or skill category. Only secondary skills or groups with only secondary skills.</t>
  </si>
  <si>
    <t xml:space="preserve">You receive a special bonus of +20 to your Subterfuge • Stealth skill Category. </t>
  </si>
  <si>
    <t xml:space="preserve">All of the time it takes to either put on or take off your armor is reduced by 25%. </t>
  </si>
  <si>
    <t>Blocking, Tackling, Wrestling, and Boxing are classified as everyman skills for you.</t>
  </si>
  <si>
    <t>You receive a special bonus of +10 to the Subterfuge • Mechanics and Subterfuge • Stealth skill categories. Select one Subterfuge • Stealth or Subterfuge • Mechanics skill that may be classified as everyman.</t>
  </si>
  <si>
    <t xml:space="preserve">All melee weapons are classified as everyman. One Combat Maneuvers skill is also classified as everyman. You also receive a special bonus of +10 to Special Attacks. </t>
  </si>
  <si>
    <t xml:space="preserve">All weapons in your primary weapon category (that category with the lowest development point cost) have their fumble range reduced by 2 (to a minimum of 1). All other weapon categories have their fumble range reduced by 1 (to a minimum of 1). </t>
  </si>
  <si>
    <t>Your normal recovery time for injuries is halved—this does not apply to concussion hits.</t>
  </si>
  <si>
    <t xml:space="preserve">You have a keen sense of hearing that allows you to perceive any sounds within a range of 100' in open areas or 25' when listening through solid barriers. You receive a special bonus of +10 to your Awareness categories when dealing with these sounds. </t>
  </si>
  <si>
    <t xml:space="preserve">You have an acute sense of smell. You can smell odors up to 100' upwind, 2000' downwind, and 500' in still air. You receive a special bonus of +25 to Tracking something based on its odor. You receive a special bonus of +10 to your Awareness categories when dealing with smells. </t>
  </si>
  <si>
    <t>You may use either hand equally well. There is no penalty for using a weapon in your “off” hand.</t>
  </si>
  <si>
    <t>You may use either hand equally well. There is no penalty for using a weapon in your “off” hand. You receive a special bonus of +15 to your Two-weapon Combat skill.</t>
  </si>
  <si>
    <t>You may shout your “battle cry” just before or during a combat. When you do this, you receive a special bonus of +10 to your OB and DB for the remainder of the combat. You may only use this ability once per day.</t>
  </si>
  <si>
    <t>Your Base Movement Rate is increased by +10.</t>
  </si>
  <si>
    <t>You are more resistant to cold and ice than normal. You get a +10 to your RRs and DB versus cold- and ice-based attacks and damage.</t>
  </si>
  <si>
    <t>You are more resistant to cold and ice than normal. You get a +20 to your RRs and DB versus cold- and ice-based attacks and damage.</t>
  </si>
  <si>
    <t>You are more resistant to cold and ice than normal. You get a +30 to your RRs and DB versus cold- and ice-based attacks and damage.</t>
  </si>
  <si>
    <t>You are more resistant to cold and ice than normal. You get a +40 to your RRs and DB versus cold- and ice-based attacks and damage.</t>
  </si>
  <si>
    <t xml:space="preserve">Your reactive reflexes grant you a special bonus of +5 to DB and OB. When rolling for initiative determination, you may roll one extra die and must then decide which die rolled is not used. This talent may not be taken if Lightning Strike is taken. </t>
  </si>
  <si>
    <t>All of your missile range penalties are halved</t>
  </si>
  <si>
    <t>You can reproduce any sound you hear. If the noise could not be reproduced by your vocal cords, you can reproduce it on an appropriate instrument. You can also play any piece of music you hear once (though not necessarily played well). You receive a special bonus of +25 to all Singing and Play Instrument maneuvers.</t>
  </si>
  <si>
    <t xml:space="preserve">You have a special bonus of +20 to all of your Adrenal Strength maneuvers. </t>
  </si>
  <si>
    <t>Due to your fine wrists, you receive a special bonus of +20 to all attacks with a thrown weapon and Martial Arts • Sweeps and Throws skills.</t>
  </si>
  <si>
    <t>You have a soothing and calming voice. This gives you a special bonus of +15 to any maneuver where you verbally attempt to calm or persuade (Singing, Public Speaking, Duping, Trading, Acting, etc.).</t>
  </si>
  <si>
    <t>All of your thrown weapon ranges are increased by 25%.</t>
  </si>
  <si>
    <t xml:space="preserve">Your hands are much harder than normal. You may make Martial Arts • Strikes attacks with your bare hands and inflict an Impact critical of one less severity as your Martial Arts • Strikes critical (an ‘A’ becomes an ‘A-25’). </t>
  </si>
  <si>
    <t>You are more resistant to heat and fire than normal. You get a +10 to your RRs and DB versus heat- and fire-based attacks and damage.</t>
  </si>
  <si>
    <t>You are more resistant to heat and fire than normal. You get a +20 to your RRs and DB versus heat- and fire-based attacks and damage.</t>
  </si>
  <si>
    <t>You are more resistant to heat and fire than normal. You get a +30 to your RRs and DB versus heat- and fire-based attacks and damage.</t>
  </si>
  <si>
    <t>You are more resistant to heat and fire than normal. You get a +40 to your RRs and DB versus heat- and fire-based attacks and damage.</t>
  </si>
  <si>
    <t>You have a great jumping ability. You receive a special bonus of +30 to your Jumping skill.</t>
  </si>
  <si>
    <t>Your voice can emit a sound higher than most. By taking a 50% action to scream, you attack all glass and listening targets within a 25' radius. Each glass target makes an RR to avoid shattering (its target level is 1 for every 1/4" of thickness, the attack level is your level). Each listening target is stunned for 1 round/ 10% failure (each target makes an RR versus your level). If you scream like this more that once per day, you will lose your voice entirely for one week.</t>
  </si>
  <si>
    <t>You receive a special bonus of +15 to all Adrenal maneuvers (using skills in the Self Control category) as well as all Frenzy maneuvers. You also receive a special bonus of +5 to your Special Defense skill category.</t>
  </si>
  <si>
    <t xml:space="preserve">Your powerful eyes grant you a special bonus of +10 to all skills in which you interact with other people (Duping, Bribery, Interrogation, Diplomacy, etc.). Your eyes must be visible to whomever you are talking to for you to gain this bonus. </t>
  </si>
  <si>
    <t>Your fast fingers give you a special bonus of +10 to your Subterfuge • Stealth skill category and a special bonus of +1 to your initiative.</t>
  </si>
  <si>
    <t>You may make an extra Alertness maneuver (that is, two maneuvers in total) to wake from sleep.</t>
  </si>
  <si>
    <t xml:space="preserve">You receive a special bonus of +20 to your Body Development skill. </t>
  </si>
  <si>
    <t xml:space="preserve">You have natural claws, talons, spikes, pinchers, beaks, or other weapons that you can use to attack. You may use these as a weapon, developing skill in it as if it were any other weapon (except the skill with this weapon/attack is actually under the Special Attack category). Natural weapons in your hands do not grant you any additional bonus if you are using a weapon in that hand. Your attack is rolled on the appropriate attack table with a maximum result of medium. This skill is classified as everyman. </t>
  </si>
  <si>
    <t>You have a strange magnetic field that surrounds you. You can always discern north. You receive a special bonus +50 to your Direction Sense and Navigation skills (and compasses are always skewed if you are within 50'). Iron and steel objects seem to stick to you slightly. Your fumble ranges for iron and steel objects are reduced by 1 (minimum of 1.) However, you are more vulnerable to attacks from iron, steel, and electricity. Any attack based on iron, steel, or electricity receives a special bonus of +5 bonus to hit you.</t>
  </si>
  <si>
    <t>Your body has a particular ability that masks the scent of anything within five feet of you.</t>
  </si>
  <si>
    <t>You get a special bonus of +15 to all moving maneuvers because of your nimble skeleton.</t>
  </si>
  <si>
    <t>Any concussion hit damage you take from an attack is reduced by 1 hit (to a minimum of 1)</t>
  </si>
  <si>
    <t>Any concussion hit damage you take from an attack is reduced by 2 hit (to a minimum of 1)</t>
  </si>
  <si>
    <t>Any concussion hit damage you take from an attack is reduced by 3 hit (to a minimum of 1)</t>
  </si>
  <si>
    <t>Any concussion hit damage you take from an attack is reduced by 4 hit (to a minimum of 1)</t>
  </si>
  <si>
    <t>When you are attacked from the flank, your foe’s bonus is only +5; from the rear, your foe’s bonus is +15.</t>
  </si>
  <si>
    <t xml:space="preserve">You have a quick and quiet stride. You receive a special bonus of +20 to your Stalking skill. You may ambush anyone from behind with a special bonus of +10 to your Ambush maneuver (not to critical modification). You receive a special bonus of +20 bonus for all balancing maneuvers. </t>
  </si>
  <si>
    <t xml:space="preserve">You have the ability to regenerate damage from all but fatal wounds. Your body automatically regenerates 1 concussion hit each minute. Your recovery rate for non-fatal injuries is halved. </t>
  </si>
  <si>
    <t xml:space="preserve">You have the ability to regenerate damage from all but fatal wounds. Your body automatically regenerates 1 concussion hit each round. Your recovery rate for non-fatal injuries is halved. </t>
  </si>
  <si>
    <t xml:space="preserve">You have the ability to regenerate damage from all but fatal wounds. Your body automatically regenerates 3 concussion hits each round. Your recovery rate for non-fatal injuries is halved. </t>
  </si>
  <si>
    <t>Any bleeding wounds (wounds giving hits per round) that you receive have their rates reduced by half (round down).</t>
  </si>
  <si>
    <t>Whenever you are in a melee combat and you do a critical to your foe, that foe takes an additional Unbalancing critical of two levels less severity (an 'A' as an 'A-50'; a 'B' becomes an 'A-25'). Additional crits use same roll as normal crit.</t>
  </si>
  <si>
    <t>You may add an additional +10 to the DB provided by any shield (e.g., a Normal shield now gives 35 DB, etc.). You also receive a special bonus of +15 to your Shield Bash skill.</t>
  </si>
  <si>
    <t>You may resist weapon disarming with a +25 bonus. All fumble ranges for melee weapons is reduced by 1 (to a minimum of 1).</t>
  </si>
  <si>
    <t>Your lungs allow you to hold your breath for 10 seconds plus 1 minute per Co bonus (minimum of 10 seconds).</t>
  </si>
  <si>
    <t>Percentage activity needed to reload missile weapons and/or draw weapons is halved.</t>
  </si>
  <si>
    <t>You reduce the level of any Krush, Unbalance, or Impact critical you receive by one level (an A becomes A-25).</t>
  </si>
  <si>
    <t>All your Stalk and Hide maneuvers receive a special bonus of +25.</t>
  </si>
  <si>
    <t>Choose one of the following types of criticals: Slash, Krush, Puncture, Unbalancing, Martial Arts Striking, Martial Arts Sweeps, and Grappling. Any time you are affected by that type of critical, its severity is reduced by one level (an 'A' becomes an 'A-25').</t>
  </si>
  <si>
    <t>Choose two of the following types of criticals: Slash, Krush, Puncture, Unbalancing, Martial Arts Striking, Martial Arts Sweeps, and Grappling. Any time you are affected by that type of critical, its severity is reduced by one level (an 'A' becomes an 'A-25').</t>
  </si>
  <si>
    <t>Choose three of the following types of criticals: Slash, Krush, Puncture, Unbalancing, Martial Arts Striking, Martial Arts Sweeps, and Grappling. Any time you are affected by that type of critical, its severity is reduced by one level (an 'A' becomes an 'A-25').</t>
  </si>
  <si>
    <t>You may take 150% of your concussion hits before falling unconscious (though death occurs at the normal loss of hits).</t>
  </si>
  <si>
    <t>Your skin is naturally hardened. If you are wearing no armor at all, your armor type is 3. If you are wearing any sort of armor, then your armor type is that of the armor and is unmodified by your skin.</t>
  </si>
  <si>
    <t>Your skin is naturally hardened. If you are wearing no armor at all, your armor type is 4. If you are wearing any sort of armor, then your armor type is that of the armor and is unmodified by your skin.  You receive a -20 to your Appearance (due to the appearance of your skin).</t>
  </si>
  <si>
    <t>Your skin is naturally hardened. If you are wearing no armor at all, your armor type is 11. If you are wearing any sort of armor, then your armor type is that of the armor and is unmodified by your skin.  You receive a -40 to your Appearance (due to the appearance of your skin).</t>
  </si>
  <si>
    <t>You have increased stamina. You have a special bonus of +100 to your Exhaustion point total.</t>
  </si>
  <si>
    <t>You receive +10 bonus to either your base attack rolls or to your elemental attack rolls (choose when purchasing the talent).</t>
  </si>
  <si>
    <t xml:space="preserve">Power Point Development is classified as an everyman skill for you. </t>
  </si>
  <si>
    <t>You receive an additional power point for each rank of Power Point Development you have.</t>
  </si>
  <si>
    <t>You receive an additional two power points for each rank of Power Point Development you have.</t>
  </si>
  <si>
    <t>You receive an additional three power points for each rank of Power Point Development you have.</t>
  </si>
  <si>
    <t>You may make an Alertness maneuver to detect danger (GM’s discretion). You all receive a special bonus of +10 to your Awareness • Perceptions category.</t>
  </si>
  <si>
    <t xml:space="preserve">You instinctively know the direction that will take you to a specific goal. This ability can only be used once per day. </t>
  </si>
  <si>
    <t xml:space="preserve">You receive a special bonus of +25 to all of your spell casting static maneuvers. </t>
  </si>
  <si>
    <t xml:space="preserve">You may touch a target afflicted with a permanent magical disability (curse, lycanthropy, etc.). The disability must make a RR versus your level or be permanently dispelled. If the disability makes its RR, you may not try to remove it until you gain another level. </t>
  </si>
  <si>
    <t>You are exceptionally enchanted. You receive a special bonus of +50 to your RR versus one realm and a special bonus of +25 when casting spells or using items based in that realm. Does not apply to Bolts.</t>
  </si>
  <si>
    <t>You receive a special bonus of +20 to all spell casting static maneuvers for spells from one spell list.</t>
  </si>
  <si>
    <t>You receive a special bonus of +25 to your Magical Lore skill category.</t>
  </si>
  <si>
    <t xml:space="preserve">People who are your allies, troops, friends, or retainers receive +25 to RRs versus panic and morale while you are well and in sight. </t>
  </si>
  <si>
    <t xml:space="preserve">You have your choice of two spell lists that may be classified as everyman and a choice of one Power Manipulation skill that is classified as everyman. </t>
  </si>
  <si>
    <t xml:space="preserve">You have a strange resistance to magic. You receive a special bonus of +50 to your RRs versus one realm of magic. </t>
  </si>
  <si>
    <t xml:space="preserve">You receive a special bonus of +15 to your Attunement skill. </t>
  </si>
  <si>
    <t>The hairs on the back of your neck prickle whenever you go near a large power source, an enchanted location, an earthnode, a haunted area, etc.</t>
  </si>
  <si>
    <t>You receive a special bonus of +25 to your Read Runes skill.</t>
  </si>
  <si>
    <t>The ranges of your spells are greater than those of most other mages. Your spells with a range of “touch” actually have a range of 5'. All other spells add 50' to their ranges. However, this extension of range only affects one “type” of spell (force, utility, directed elemental, etc.). This ability can be purchased once for every spell type.</t>
  </si>
  <si>
    <t>The ranges of your spells are greater than those of most other mages. Your spells with a range of “self” actually have a range of touch. All other spells add 50' to their ranges. However, this extension of range only affects one “type” of spell (force, utility, directed elemental, etc.). This ability can be purchased once for every spell type.</t>
  </si>
  <si>
    <t>Any spell which has a duration of Concentration will last as many rounds after you stop concentrating as you originally spent concentrating on the spell. For example, if you concentrate on a spell for four rounds, it will continue to operate for another four rounds after you cease concentration. Note that this only affects spells with a duration of concentration (not spells with both a timed duration and the requisite of concentration).</t>
  </si>
  <si>
    <t xml:space="preserve">The duration of all of your spells is doubled. This does not affect spells with a duration of concentration (“C”) or instant (“ — ”) </t>
  </si>
  <si>
    <t xml:space="preserve">You receive a special bonus of +25 to your Transcend Armor skill. </t>
  </si>
  <si>
    <t xml:space="preserve">You receive a special bonus of +30 to RRs versus all scrying, detection, and related spells. If such a spell is actually “passive,” you may make an RR (with the +30 modifier) to resist its effects. </t>
  </si>
  <si>
    <t xml:space="preserve">You age slowly for your race. All aging maneuvers (see Gamemaster Law) are made with a one category shift to the left. For example, if you are a 67 year old Ruralman, you would normally be “very old.” With this talent, you would only be “old.” </t>
  </si>
  <si>
    <t>For spells with a sub-type of “m,” you get a special bonus of +10 to all BARs. In addition, you gain a special bonus of +10 to all RRs versus spells of sub-type “m.” You also gains a special bonus of +20 to all Spell Casting Static Maneuvers involving spells with a sub-type of “m.”</t>
  </si>
  <si>
    <t>Your magical aura appears so ordinary to detection spells that it is difficult to pick you out from a crowd. You gain a special bonus of +15 to all RRs versus spells which attempt to identify you magically (i.e., Scrying, Finding spells, etc.). Note that this spell gives no bonuses versus Presence (or similar) spells which detect that an aura is present. It is only effective against spells which try to “home in” on your specific aura.</t>
  </si>
  <si>
    <t>When casting spells with a sub-type of“m,” the target receives a special modification of -15 to his RR.</t>
  </si>
  <si>
    <t>The character with this talent may choose one language family in which all of the languages are classified as Everyman (note that languages normally classifed as Restricted become classified as Normal and languages normally classified as Everyman become classified as Occupational)</t>
  </si>
  <si>
    <t>Excellent Linguist (MC p. 18)</t>
  </si>
  <si>
    <t>You have empathy with a certain type of animal. Any maneuver with such an animal receives a special bonus of +25 to it. If you associate with a specific animal for a month, you can communicate empathically that animal from a range of 1' for every level you have. The GM will have to determine what qualifies as an acceptable animal.</t>
  </si>
  <si>
    <t xml:space="preserve">You may make an extra initiative roll and select the one you wish to use. </t>
  </si>
  <si>
    <t xml:space="preserve">Whenever you are in a pressured situation (GM’s discretion), you receive a special bonus of +20 to your social interaction skills (Leadership, Diplomacy, Public-Speaking, Seduction, etc.). </t>
  </si>
  <si>
    <t xml:space="preserve">You receive a special bonus of +50 to RRs versus spells with a mental subclass (“m”). </t>
  </si>
  <si>
    <t xml:space="preserve">Whenever you are near someone (within 20') you can attempt to determine what his emotional state is at the moment. You cannot tell why he feels that way, just how they feel. The person you are trying to “read” must make an RR versus Mentalism (using your level as the attack level). If he fails, you are informed of their current feelings; if he succeeds, you may not try and “read” him for 24 hours. This ability also gives you a special bonus of +25 to all of your Lie Perception maneuvers (if within 20' of target). </t>
  </si>
  <si>
    <t>You receive a special bonus of +25 to Situational Awareness (Combat). You also receive a special bonus of +25 bonus to your Reverse Strike skill.</t>
  </si>
  <si>
    <t>You receive a special bonus of +50 to RRs versus Fear and Charm. You have a special bonus of +25 to your Will (see Treasure Companion for more information on Will).</t>
  </si>
  <si>
    <t>You gain a special bonus of +10 to your DB for all attacks, wheter aware or unaware.</t>
  </si>
  <si>
    <t>You receive a special bonus of +20 to your Stunned Maneuvering skill and your Stun Removal skill.</t>
  </si>
  <si>
    <t>You receive a special bonus of +15 to your Tactics skill.</t>
  </si>
  <si>
    <t>You have a special form of telepathy between you and one other person (or animal). You can send and receive thoughts between each other. You must be within sight to establish a “connection.” Once established, the mental link will function over an unlimited physical distance. If one of the connected persons falls unconscious, the link is broken. If only one of the two people purchases this talent, that person may send his thoughts and the other person will receive them, but the reverse is not true.</t>
  </si>
  <si>
    <t>You can scan an area with your mind to find an individual. You must have some knowledge of the person you are looking for: someone you have met, a picture, something they have touched, or a detailed description. You roll d100 (open-ended) to search for your target. If you exceed 100, you have detected the individual and know their approximate distance and bearing. The closer you get to the individual you are scanning for, the more precise your directions to him are. You may develop the skill of Mental Scan (as a skill in your Awareness • Searching skill category). If you are scanning for someone you have never met, through an item they once possessed, the penalty might be -20.</t>
  </si>
  <si>
    <t xml:space="preserve">You have a special bonus of +20 to your Self Control skill category. </t>
  </si>
  <si>
    <t>You have a photographic memory. Anything you study for more than 15 minutes will be placed into your memory, to be recalled whenever you need. You can remember entire books if you need to, given the proper time to study. You cannot glance at a book and then remember everything the page said; you have to read it. When you need to remember something you have studied, you roll d100 (open-ended) and add 3 times your Me bonus and add 25. If the total is greater than 100, you fully remember what you want. If the total is less than 100, then that is the percentage of information you recall. This ability also grants you a special bonus of +10 to the Lore skill group</t>
  </si>
  <si>
    <t>You can instantly calculate virtually any mathematical formula in your head. If the formula is sufficiently complicated, like calculating when a solar eclipse will occur, it will take a little more time. You receive a special bonus of +10 to the Science/Analytic group. You also receive a special bonus of +5 to your Trading skill.</t>
  </si>
  <si>
    <t>You can read books, maps, and other documents at a rate of ten pages per minute.</t>
  </si>
  <si>
    <t xml:space="preserve">Any time you are stunned, you reduce the total rounds of stun by one. If a strike results in only one round of stun, then it has no effect. </t>
  </si>
  <si>
    <t xml:space="preserve">When you use your entire OB to parry, your DB is modified by an additional +25. </t>
  </si>
  <si>
    <t xml:space="preserve">You may move one object, up to 50 pounds in mass, up to one foot per second (with no acceleration). Each round you use Telekinesis it costs d10 exhaustion points.	</t>
  </si>
  <si>
    <t xml:space="preserve">You may read or send thoughts mentally. Whenever you are trying to read the thoughts of a person, they must make an RR versus a Mentalism attack (using your level as the attack level). If the RR fails, you may learn their surface thoughts. These modifiers are for scanning surface thoughts only. If you wish to scan for a particular thought then it is modified by the target’s reluctance to part with that information (e.g. a deep secret would have the RR modified by +30). Each use of this power costs 2d10 exhaustion points. The range of this power is line of sight. </t>
  </si>
  <si>
    <t>You resist versus all magic with a special +25 modifier to your RRs. You may not, however, use any spells or spell devices (any attempts to do so will result in absolute failure).</t>
  </si>
  <si>
    <t>You may choose one specific race (subject to the GM’s approval) against which you receive an additional +10 to your OB. Whenever you deliver a critical, you also deliver an Impact critical of one less severity (an 'A' becomes an 'A-25').</t>
  </si>
  <si>
    <t>Your body can adhere to virtually any surface. You can literally walk on walls and ceilings if you desire. Your movement rate up a wall or over a ceiling is onefourth of normal movement (due to an annoying thing called gravity). You receive a special bonus of +50 to all Climbing maneuvers.</t>
  </si>
  <si>
    <t xml:space="preserve">You have a Base Running horizontal leap of three times normal; vertical leap of five times normal. See RMFRP (p. 108) for rules on determining the normal jumping ability. </t>
  </si>
  <si>
    <t xml:space="preserve">You have the ability to drain away exhaustion points, concussion hits, or power points. You must touch your victim, and they must make are RR against a Channeling attack (using your level as the attack level). If the RR fails, the victim loses d10 points from their attribute. This loss regenerates itself at the normal speed of recovery. When you purchase this talent, you must specify which attribute you wish to drain: exhaustion points, concussion hits, or power points. No attribute may be drained below zero (even if using Power Drain rules from Arcane Companion). Using this power costs 2d10 exhaustion points. </t>
  </si>
  <si>
    <t xml:space="preserve">You may select one creature type (subject to the GM’s approval) against which all of your criticals do an additional “Slaying” critical. </t>
  </si>
  <si>
    <t>You may summon darkness (as a Dark V spell; see RMFRP, p. 183). Each time you summon darkness costs you 2d10 exhaustion points.</t>
  </si>
  <si>
    <t>Flaws (max 5)</t>
  </si>
  <si>
    <t>Flaws / Physical</t>
  </si>
  <si>
    <t>You can emit a stunning force from your body. When you purchase this ability, you must pick how you can stun your opponent (e.g., bright light, loud sound, etc.). When you use your power, everyone in a 10' radius must make an RR versus an Essence attack (with your level as the attack level). If the RR fails, the victim is stunned and unable to parry for 1 round per 10% failure. This attack can affect comrades within the area of effect if they are not prepared for it (allies can prepare to get a special bonus of +10 to their RR). After the stun attack is used, it takes one hour to “recharge” the ability (until it is recharged, the ability cannot be re-used)</t>
  </si>
  <si>
    <t xml:space="preserve">You have the ability to breathe water as well as air, and you operate underwater without any penalty to your maneuvers. </t>
  </si>
  <si>
    <t>You do not have to breathe at all (and suffer no effects from gasses or other “breathable” maladies).</t>
  </si>
  <si>
    <t>You do not have to sleep, eat, or drink (your must still sleep or meditate to recover PPs, hits, and exhaustion points).</t>
  </si>
  <si>
    <t>You have a goal (subject to the GM’s approval) that controls your every move. You do whatever it takes to complete this goal. It should relate to most of your adventures, and should be a lifetime hope (e.g., the destruction of a great evil, overthrow of a cruel ruler, etc.) Whenever you are involved in an action that is directly related to this goal, you receive a bonus of +5 to +15 to all of your actions (GM’s discretion). The total amount of the bonus is directly related to how closely your current actions will affect the outcome of your goal (most of your bonuses will be at +5, the final +15 bonus should only come when you are near the completion of your goal). Realize that this is a goal that has driven you for most of your life. You have not thought about much else for years. When you have accomplished this goal, if you do, you will probably have a sense of deprivation and a loss of direction.</t>
  </si>
  <si>
    <t>You have very unusual luck— good and bad. Your high open-ended roll range is increased by 1 from 96-100 to 95-100, and your low openended roll range is increased by 1 from 01-05 to 01-06.</t>
  </si>
  <si>
    <t>You have very unusual luck— good and bad. Your high open-ended roll range is increased by 2 from 96-100 to 94-100, and your low openended roll range is increased by 2 from 01-05 to 01-07.</t>
  </si>
  <si>
    <t>You have very unusual luck— good and bad. Your high open-ended roll range is increased by 3 from 96-100 to 93-100, and your low openended roll range is increased by 3 from 01-05 to 01-08.</t>
  </si>
  <si>
    <t>You have very unusual luck— good and bad. Your high open-ended roll range is increased by 4 from 96-100 to 92-100, and your low openended roll range is increased by 4 from 01-05 to 01-09.</t>
  </si>
  <si>
    <t>You are lucky. Your high open-ended roll range is increased by 1 from 96-100 to 95-100.</t>
  </si>
  <si>
    <t>You are lucky. Your high open-ended roll range is increased by 3 from 96-100 to 93-100.</t>
  </si>
  <si>
    <t>You are lucky. Your high open-ended roll range is increased by 2 from 96-100 to 94-100.</t>
  </si>
  <si>
    <t xml:space="preserve">Master Warrior Friend — You may learn one additional rank per level in your primary weapon skill and skill category at a Development Cost that is the same as the first rank (i.e., 3/7 becomes 3/3/7, 6 becomes 6/6, etc.). </t>
  </si>
  <si>
    <t>You have a high-level spell user as a friend (your GM should fill out the details of your mentor).</t>
  </si>
  <si>
    <t>You can view objects that are close (within 1') with up to 10x magnification. You can then notice details normally invisible to the naked eye.</t>
  </si>
  <si>
    <t>You can generate a ranged attack by using energy stored in your body. The type of attack is up to you (subject to GM approval)—e.g., electricity, heat, water, piercing, etc. Resolve this attack using the RMFRP Table A-10.9.9 (p.228) with a maximum result the same as “Shock Bolt” and using an appropriate critical type. You may develop a skill in this attack. The skill should be placed in either the Missile Weapon skill category (if physical) or Directed Spells skill category (if elemental based); choose when this talent is selected. The maximum range of your attack is 50'. Each time you use this attack it costs 1d10 exhaustion points.</t>
  </si>
  <si>
    <t>You can generate a ranged attack by using energy stored in your body. The type of attack is up to you (subject to GM approval)—e.g., electricity, heat, water, piercing, etc. Resolve this attack using the RMFRP Table A-10.9.9 (p.228) with a maximum result the same as “Fire Bolt” and using an appropriate critical type. You may develop a skill in this attack. The skill should be placed in either the Missile Weapon skill category (if physical) or Directed Spells skill category (if elemental based); choose when this talent is selected. The maximum range of your attack is 100'. Each time you use this attack it costs 1d10 exhaustion points.</t>
  </si>
  <si>
    <t>You can sense a particular type of object or substance. When you purchase this ability, you must choose what it is that you can sense (subject to GM approval). You can sense this material at a range of up to 100'. You use your sense like any of your other five senses. You may be required to make an Observation maneuver to actually locate the material you are searching for.</t>
  </si>
  <si>
    <t>You have the ability to change the shape of your body. It takes d10 minutes to transform. You may change shape to one specific form (subject to the GM’s approval). Any equipment and clothing that you are currently wearing when you change shape changes with you. When you resume your natural shape, your equip¬ment and clothes return.</t>
  </si>
  <si>
    <t>You have a special kind of familiar. You may pick any creature (subject to the GM’s approval), but it should be a creature appropriate to your background. Your bond with this creature starts at first level. You must split your experience with your familiar (thus, you gain levels slower, but you and your familiar will always be the same level). However, your familiar gains levels, new powers and abilities will be discovered (GM’s discretion as to the nature of these abilities). If the familiar dies, you will be at -25 to all actions for two weeks.</t>
  </si>
  <si>
    <t xml:space="preserve">You receive a special bonus of +2 to one stat, random unless prime stat. This talent may not be duplicated on the same stat. </t>
  </si>
  <si>
    <t xml:space="preserve">You receive a special bonus of +4 to one stat, random unless prime stat. This talent may not be duplicated on the same stat. </t>
  </si>
  <si>
    <t xml:space="preserve">After you have made your normal stat gain rolls when advancing a level, you receive one extra stat gain roll for one of your stats (your choice). You also receive one such roll during your adolescence and apprenticeship development. </t>
  </si>
  <si>
    <t xml:space="preserve">You have a “laying on hands” ability. When you decide to aid someone, you may heal a variety of ailments. When you choose this power, you may select one ailment from the following list: lost concussion hits, bleeding, lost points of Constitution, broken bones, damaged cartilage, or nerve damage. When you choose to aid someone, you lay your hands on them (bare flesh to bare flesh), and they receive healing. You may use this power once per day for each level of experience. When healing concussion hits or points of Constitution, the healing will restore one point per level of experience (up to the target’s normal maximum). When healing bleeding, the bleeding rate will reduce by one point for every five levels of experience. When healing any other type of damage, the severity of the wound will be reduced by one for every five levels of experience (round all fractions down). See RMFRP (p. 76) for details on healing times based upon severity of wound. Note that a light wound can be reduced to no wound at all. </t>
  </si>
  <si>
    <t xml:space="preserve">You have a “laying on hands” ability. When you decide to aid someone, you may heal a variety of ailments. When you choose this power, you may select three ailments from the following list: lost concussion hits, bleeding, lost points of Constitution, broken bones, damaged cartilage, or nerve damage. When you choose to aid someone, you lay your hands on them (bare flesh to bare flesh), and they receive healing. You may use this power once per day for each level of experience. When healing concussion hits or points of Constitution, the healing will restore one point per level of experience (up to the target’s normal maximum). When healing bleeding, the bleeding rate will reduce by one point for every five levels of experience. When healing any other type of damage, the severity of the wound will be reduced by one for every five levels of experience (round all fractions down). See RMFRP (p. 76) for details on healing times based upon severity of wound. Note that a light wound can be reduced to no wound at all. </t>
  </si>
  <si>
    <t xml:space="preserve">You have a “laying on hands” ability. When you decide to aid someone, you may heal a variety of ailments. When you choose this power, you may select five ailments from the following list: lost concussion hits, bleeding, lost points of Constitution, broken bones, damaged cartilage, or nerve damage. When you choose to aid someone, you lay your hands on them (bare flesh to bare flesh), and they receive healing. You may use this power once per day for each level of experience. When healing concussion hits or points of Constitution, the healing will restore one point per level of experience (up to the target’s normal maximum). When healing bleeding, the bleeding rate will reduce by one point for every five levels of experience. When healing any other type of damage, the severity of the wound will be reduced by one for every five levels of experience (round all fractions down). See RMFRP (p. 76) for details on healing times based upon severity of wound. Note that a light wound can be reduced to no wound at all. </t>
  </si>
  <si>
    <t>You may summon a creature to you at anytime. It costs 3d10 exhaustion points and d10 rounds to before the summoned creature arrives (though it only takes one round to issue the summons). You have no control over the summoned creature, but you receive a +20 to any skill that would allow you to direct the summoned creature’s actions. You must determine what category of creature you may summon (e.g., woodland animals, insects, birds, fish, etc.). It is possible that no creature is available to be summoned, depending on your current location (as the creature must already exist in some nearby locale). You may use this summoning ability once per five levels of experience (round all fractions up). The summoned creature will remain nearby for at least an hour, or until it feels threatened (at which point it will run, back to where it was summoned from).</t>
  </si>
  <si>
    <t>Special Status (MAX 1)</t>
  </si>
  <si>
    <t xml:space="preserve">Dishonored Knight </t>
  </si>
  <si>
    <t xml:space="preserve">Faithful Vassal </t>
  </si>
  <si>
    <t>You were once a knight but have been dishonored. Your GM will create the story behind what caused you to be dishonored and whether or not you actually performed the deed or were framed for it by an enemy (though you should provide the GM with some ideas as to what you would like to play). You will immediately be noticed by another knight or noble as a dishonored knight with the appropriate reactions from those who notice you. You may eventually shed your dishonor, but it should be after many trials and only after definitely proving your innocence. The GM may decide that it is impossible for you to ever regain your knighthood.</t>
  </si>
  <si>
    <t>You are a faithful vassal to a wicked Lord or Lady. The reasons why they despise you are left up to you and the GM, but you are nevertheless faithful to them. You try your best to not hurt them in any way, no matter what they put you through. You seem to be under their control, at least emotionally, and they will often put unreasonable demands upon you. It should be a very long and involved endeavor for you to escape their strong grip.</t>
  </si>
  <si>
    <t>Favored (Minor)</t>
  </si>
  <si>
    <t>Favored (Major)</t>
  </si>
  <si>
    <t>Favored (Greater)</t>
  </si>
  <si>
    <t>Government Ties</t>
  </si>
  <si>
    <t>Heir</t>
  </si>
  <si>
    <t>Knighted</t>
  </si>
  <si>
    <t>Law Enforcement Ability (Minor)</t>
  </si>
  <si>
    <t>Law Enforcement Ability (Major)</t>
  </si>
  <si>
    <t>Law Enforcement Ability (Greater)</t>
  </si>
  <si>
    <t>Lost Favor</t>
  </si>
  <si>
    <t>Military Rank (Lesser)</t>
  </si>
  <si>
    <t>Military Rank (Minor)</t>
  </si>
  <si>
    <t>Military Rank (Major)</t>
  </si>
  <si>
    <t>Military Rank (Greater)</t>
  </si>
  <si>
    <t>Noble</t>
  </si>
  <si>
    <t>Orphan</t>
  </si>
  <si>
    <t>Patron (Lesser)</t>
  </si>
  <si>
    <t>Patron (Minor)</t>
  </si>
  <si>
    <t>Patron (Major)</t>
  </si>
  <si>
    <t>Patron, Important (Minor)</t>
  </si>
  <si>
    <t>Patron, Important (Major)</t>
  </si>
  <si>
    <t>Patron, Important (Greater)</t>
  </si>
  <si>
    <t>Patron, Significant (Major)</t>
  </si>
  <si>
    <t>Patron, Significant (Greater)</t>
  </si>
  <si>
    <t>Priestly Investment</t>
  </si>
  <si>
    <t>Wanted</t>
  </si>
  <si>
    <t>You have been befriended by a highranking official. This official may be a noble or may be a relative. The official is acknowledged by a small number of people (e.g., mayor of a city). If the GM deems it appropriate, the befriended official can be related to you.</t>
  </si>
  <si>
    <t>You have been befriended by a highranking official. This official may be a noble or may be a relative. The official is acknowledged by a large group of people (e.g., the leader of a country). If the GM deems it appropriate, the befriended official can be related to you.</t>
  </si>
  <si>
    <t>You have been befriended by a highranking official. This official may be a noble or may be a relative. The official is acknowledged by a worldwide group of people (e.g., a demi-god or angel). If the GM deems it appropriate, the befriended official can be related to you.</t>
  </si>
  <si>
    <t>You have a reputation for aiding “good” government figures. You will usually receive aid from the local constabulary (e.g., shelter, subsistence, protection, maybe money). You have earned a reputation in the underworld as being associated with the government.</t>
  </si>
  <si>
    <t xml:space="preserve">You are the heir to a great hero or Lord. Few people know of your position (in fact you may not know it either). You may discover your lineage while retrieving a great item once belonging to your parents or some equally important quest. Powerful evil forces may know more about your ancestry than you do, and you may well be hunted by them because of it. </t>
  </si>
  <si>
    <t>You have been knighted for personal heroism or on the behalf of a noble or royalty.</t>
  </si>
  <si>
    <t>You have been granted the right to enforce law in a general area. Depending on the area and the local laws, the effect benefits of this ability may vary (from the right of execution to simple guard duty). You are recognized as an officer of the law, unless you are undercover, and you may be called on by citizens to perform various legal tasks. Your jurisdiction is no more than a single city, town, or county.</t>
  </si>
  <si>
    <t>You have been granted the right to enforce law in a general area. Depending on the area and the local laws, the effect benefits of this ability may vary (from the right of execution to simple guard duty). You are recognized as an officer of the law, unless you are undercover, and you may be called on by citizens to perform various legal tasks. Your jurisdiction is an entire country.</t>
  </si>
  <si>
    <t>You have been granted the right to enforce law in a general area. Depending on the area and the local laws, the effect benefits of this ability may vary (from the right of execution to simple guard duty). You are recognized as an officer of the law, unless you are undercover, and you may be called on by citizens to perform various legal tasks. Your jurisdiction is worldwide (or your powers are particularly liberal; at the GM’s discretion).</t>
  </si>
  <si>
    <t xml:space="preserve">You were once close with a member of the upper echelon of society. Some event occurred that caused you to lose favor with the person and now they will have nothing to do with you. You and the GM should determine what happened and whether or not you are innocent. Regardless, the person will no longer have anything to do with you, will provide no assistance, and may try to hinder you whenever possible. </t>
  </si>
  <si>
    <t>You were in the military. While you were in the military, you received a promotion in rank. The actual title of the rank should be determined by the branch of the military you were in (the GM will have to let you know what is appropriate in his world).</t>
  </si>
  <si>
    <t>You were in the military. While you were in the military, you received two promotions in rank. The actual title of the rank should be determined by the branch of the military you were in (the GM will have to let you know what is appropriate in his world).</t>
  </si>
  <si>
    <t>You were in the military. While you were in the military, you received four promotions in rank. The actual title of the rank should be determined by the branch of the military you were in (the GM will have to let you know what is appropriate in his world).</t>
  </si>
  <si>
    <t>You were in the military. While you were in the military, you received six promotions in rank. The actual title of the rank should be determined by the branch of the military you were in (the GM will have to let you know what is appropriate in his world).</t>
  </si>
  <si>
    <t xml:space="preserve">You are a member of the nobility. You were either awarded nobility, or inherited it from your parents. You and your GM should determine your title and the extent of your noble powers. </t>
  </si>
  <si>
    <t>You are an orphan. You have no family and no records of who they might be. It would be difficult for you to track down your birth parents. You may be scorned in society, depending on how important lineage is to that society. In addition, you have some emotional scars from your life in the orphanage that you are probably still learning to cope with.</t>
  </si>
  <si>
    <t>You have a patron that provides for you. The patron is a single individual who can only provide you with bare necessities (food, clothing, shelter, etc.).</t>
  </si>
  <si>
    <t>You have a patron that provides for you. The patron is a single individual who can only provide you almost any normal items that you want.</t>
  </si>
  <si>
    <t xml:space="preserve">You have a patron that provides for you. The patron is a single individual who can only provide you with basically any type of item (GM’s discretion on availability). </t>
  </si>
  <si>
    <t>You have a patron that provides for you. The patron is either an important individual within the society (e.g., the leader of a country) or a large organization (e.g., a church or guild). However, this patron can only provide you with almost any normal items that you want.</t>
  </si>
  <si>
    <t>You have a patron that provides for you. The patron is either an important individual within the society (e.g., the leader of a country) or a large organization (e.g., a church or guild). However, this patron can only provide you with basically any type of item (GM’s discretion on availability).</t>
  </si>
  <si>
    <t>You have a patron that provides for you. The patron is either an important individual within the society (e.g., the leader of a country) or a large organization (e.g., a church or guild). However, this patron can only provide you with bare necessities (food, clothing, shelter, etc.). [</t>
  </si>
  <si>
    <t>You have a patron that provides for you. The patron is either a huge organization (e.g., a whole religion or country) or a single organization that is influential worldwide (e.g., a network of guilds). However, this patron can only provide you with bare necessities (food, clothing, shelter, etc.).</t>
  </si>
  <si>
    <t xml:space="preserve">You have a patron that provides for you. The patron is either a huge organization (e.g., a whole religion or country) or a single organization that is influential worldwide (e.g., a network of guilds). However, this patron can only provide you with with almost any normal items that you want.	</t>
  </si>
  <si>
    <t>You have been granted the status of representative for your god. This does not mean that you must be a cleric or paladin, only that you are part of your god’s religious leaders. This will grant you many intangible benefits. You can expect support from your church, and congregation members will often help you when you need them. A Priestly Investment is a public display of your allegiance to your god. It also makes you easier to find for anyone who is opposed to you or your god.</t>
  </si>
  <si>
    <t xml:space="preserve">You have been accused of a major crime: theft, treason, murder, assassination, etc. You may or may not have committed the crime (that is up to you and the GM). There is a significant force looking for you, and they may try unorthodox methods to bring you back for sentencing. It is up to you to either try and clear your name or evade the authorities. </t>
  </si>
  <si>
    <t>You have two exceptional items, either high quality or special purpose. Exactly what item you have is for you and your GM to decide; a special, nonmagical bonus of +5 will be applied to the appropriate skills affected by those items. For example you may have a +5 lockpick kit that bestows its bonus upon your Pick
Locks skill.</t>
  </si>
  <si>
    <t>You have two exceptional items, either high quality or special purpose. Exactly what item you have is for you and your GM to decide; a special, nonmagical bonus of +10 will be applied to the appropriate skills affected by those items. For example you may have a +5 lockpick kit that bestows its bonus upon your Pick
Locks skill.</t>
  </si>
  <si>
    <t>As Bonus Item (I), except there are either three items with a magical bonus of +5 each, one item with a magical bonus of +15, or one item with a non-magical bonus of +20.</t>
  </si>
  <si>
    <t xml:space="preserve">As Bonus Item (I), except there are either three items with a bonus of +5 each, or one item with a bonus of +15. </t>
  </si>
  <si>
    <t xml:space="preserve">As Bonus Item (I), except there are two items with a magical bonus of +10 each. </t>
  </si>
  <si>
    <t>As Bonus Item (I), except there are three items with a magical bonus of +10 each.</t>
  </si>
  <si>
    <t>As Bonus Item (I), except there it gives a magical bonus of +20.</t>
  </si>
  <si>
    <t>As Bonus Item (I), except there are two items with a magical bonus of +20 each.</t>
  </si>
  <si>
    <t xml:space="preserve">Daily Item (I) — You have an item that mystically casts spells when you desire. Exactly what the item is, as well as what spell is in the item is up to you (subject to your GM’s approval). It may be possible that you carry the item with you but are unaware that it is enchanted. The item is a Daily I item. </t>
  </si>
  <si>
    <t xml:space="preserve">Daily Item (II) — You have an item that mystically casts spells when you desire. Exactly what the item is, as well as what spell is in the item is up to you (subject to your GM’s approval). It may be possible that you carry the item with you but are unaware that it is enchanted. The item is a Daily II item. </t>
  </si>
  <si>
    <t xml:space="preserve">Daily Item (III) — You have an item that mystically casts spells when you desire. Exactly what the item is, as well as what spell is in the item is up to you (subject to your GM’s approval). It may be possible that you carry the item with you but are unaware that it is enchanted. The item is a Daily III item. </t>
  </si>
  <si>
    <t xml:space="preserve">Daily Item (IV) — You have an item that mystically casts spells when you desire. Exactly what the item is, as well as what spell is in the item is up to you (subject to your GM’s approval). It may be possible that you carry the item with you but are unaware that it is enchanted. The item is a Daily IV item. </t>
  </si>
  <si>
    <t xml:space="preserve">Daily Item (V) — You have an item that mystically casts spells when you desire. Exactly what the item is, as well as what spell is in the item is up to you (subject to your GM’s approval). It may be possible that you carry the item with you but are unaware that it is enchanted. The item is a Daily V item. </t>
  </si>
  <si>
    <t xml:space="preserve">Daily Item (VI) — You have an item that mystically casts spells when you desire. Exactly what the item is, as well as what spell is in the item is up to you (subject to your GM’s approval). It may be possible that you carry the item with you but are unaware that it is enchanted. The item is a Daily VI item. </t>
  </si>
  <si>
    <t xml:space="preserve">Daily Item (VII) — You have an item that mystically casts spells when you desire. Exactly what the item is, as well as what spell is in the item is up to you (subject to your GM’s approval). It may be possible that you carry the item with you but are unaware that it is enchanted. The item is a Daily VII item. </t>
  </si>
  <si>
    <t xml:space="preserve">You have a common animal that is completely loyal to you. </t>
  </si>
  <si>
    <t>As Loyal Domesticated Animal, except the creature (GM choice) is not common in any way</t>
  </si>
  <si>
    <t>You have a potion that contains 1 dose. The spell imbedded in the potion is between 1st and 5th level.</t>
  </si>
  <si>
    <t>As Potion (1 dose), except it contains five doses.</t>
  </si>
  <si>
    <t>A spell adder allows you to cast an extra spell per day without the expenditure of PPs. You acquired your adder either in an earlier adventure or as an inheritance.</t>
  </si>
  <si>
    <t>A spell adder allows you to cast two extra spells per day without the expenditure of PPs. You acquired your adder either in an earlier adventure or as an inheritance.</t>
  </si>
  <si>
    <t>A spell adder allows you to cast three extra spells per day without the expenditure of PPs. You acquired your adder either in an earlier adventure or as an inheritance.</t>
  </si>
  <si>
    <t>A spell adder allows you to cast four extra spells per day without the expenditure of PPs. You acquired your adder either in an earlier adventure or as an inheritance.</t>
  </si>
  <si>
    <t>Doubles the number of power points available to a character between periods of rest.</t>
  </si>
  <si>
    <t>You have a sheet of Rune Paper that will hold spells up to 10th level. The spell written on the paper is between 1st and 5th level.</t>
  </si>
  <si>
    <t>You have some kind of magical bread, herb, or poison. The GM should determine exactly what.</t>
  </si>
  <si>
    <t>You have reached at least middle age for your race. You must roll stat deterioration rolls each year. You are older, probably wiser, and a little slower.</t>
  </si>
  <si>
    <t>You were born an albino. You have pale-white hair and skin, and your eyes are pink. You can never blend into a crowd without a disguise, you are too conspicuous. You have no resistance to sunburn, and thus must take many precautions against the sun. If you are in the sun without protection, you take 5 hits of damage per hour until you find shelter.</t>
  </si>
  <si>
    <t xml:space="preserve">You produce an aroma that immediately drives one type of animal to attack you. You cannot mask this smell, no matter how you try. Your smell permeates everything that can mask it, even magic. It seems that the only creatures that can smell this particular odor are of one type of animal. You may pick the type of animal, subject to the GM’s approval. Whenever one such animal sees you, it will immediately attack ferociously. If you are near an animal’s territory, there is a 50% chance that it, or a pack of them, will hunt you down. </t>
  </si>
  <si>
    <t>You have no sense of taste or smell. You cannot make any Awareness maneuvers based on these two senses.</t>
  </si>
  <si>
    <t>You cannot see. Any action you take that would require vision is at a -100 to the maneuver. You can only move at half your normal base rate unless you are in an area that is familiar to you. As a side effect, you receive a +10 to any Awareness maneuver based on sound, touch or smell.</t>
  </si>
  <si>
    <t>You tend to break equipment more often than would seem to be normal. You either force it too much, or stress it to the point where it snaps. All breakage numbers for any equipment or weapons you use are automatically increased by one. Additionally, all strength checks you make for equipment or weapons are modified by a -20.</t>
  </si>
  <si>
    <t>You are abnormally sensitive to the cold. The colder it gets, the more you suffer from the cold’s effects. When the temperature is lower than 40º F, you suffer a penalty to all of your actions. You suffer a penalty of -1 for every 1º the temperature is below 40º F.</t>
  </si>
  <si>
    <t>You are completely color blind. Everything is white, black, or a shade of gray. This is more of a nuisance than a serious flaw, but it can cause problems.</t>
  </si>
  <si>
    <t xml:space="preserve">You have an allergy to a common substance (like pollen) that appears seasonally. You may choose what you are allergic to (subject to the GM’s approval). When you are exposed to what you are allergic to more than one minute, your eyes start to water and your nose runs. While this is happening, you are at -20 to all of your actions. This will last for d100 minutes after you have left the vicinity of the cause. </t>
  </si>
  <si>
    <t xml:space="preserve">You have an allergy to something that is common and is present year-round.. You may choose what you are allergic to (subject to the GM’s approval). When you are exposed to what you are allergic to more than one minute, your eyes start to water and your nose runs. While this is happening, you are at -20 to all of your actions. This will last for d100 minutes after you have left the vicinity of the cause. </t>
  </si>
  <si>
    <t>You are not coordinated enough to effectively use the martial arts. Your Martial Arts skill group suffer a -25 penalty.</t>
  </si>
  <si>
    <t>You have lost some mobility because you are crippled in one leg. Your movement is reduced by half. You receive a -10 to all melee OBs due to your impaired mobility. You suffer a penalty of -3 to your Qu bonus.</t>
  </si>
  <si>
    <t>As the minor flaw, except you have actually lost a leg. You can only move at 25% of your normal Base Rate. You must use some form of support (e.g., either a false leg, a crutch, etc.). Your melee OB is reduced by -25. You suffer a penalty of -5 to your Qu bonus.</t>
  </si>
  <si>
    <t>As the minor flaw, except you have lost both of your legs. Your movement is 10% of your normal base movement rate. You must find some other form of mobility to move around, a cart, a wheelchair, levitation, anti-gravity chair, etc. You cannot effectively fight in melee combat. You suffer a penalty of -7 to your
Qu bonus.</t>
  </si>
  <si>
    <t>You are completely deaf. You can hear nothing at all. You operate at -100 to all actions that require hearing. All of your starting spoken languages are reduced by 2 ranks. Spoken languages are now classified as restricted skills for you.</t>
  </si>
  <si>
    <t>You have a severe case of epilepsy. Whenever you are subject to a very stressful situation (GM’s discretion), you must make an RR versus a Fear attack at 10th level. If you fail, you are subject to an epileptic fit. You lose your ability to think and speak clearly. Your body starts having violent shakes. Anything you are holding in your hand will fall to the ground. The seizure will last for 2d10 minutes. Once you stop convulsing, you will have spent 4d10 exhaustion points.</t>
  </si>
  <si>
    <t>You sleep very deeply, especially during the first hour of rest. You cannot be awakened during your first hour of sleep, no matter what occurs around you. In certain rare circumstances, the GM may allow a drastic action to awaken you from your deep slumber. After the first hour, you may awaken but suffer a -25 penalty to your Awareness maneuver to awaken.</t>
  </si>
  <si>
    <t>You (male characters only) no longer have your manhood. This could be from an accident, or it could be a sign of status. You can neither be seduced by someone nor seduce them. In addition, you are not quite as quick to anger.</t>
  </si>
  <si>
    <t>Your wrists are susceptible to sprains. When you leap, fall, climb, hang, throw an object, or attack with a melee weapon there is a 2% (non-cumulative) chance that you will sprain your wrists. If you sprain them, you will be stunned for d10 rounds, and operate at -50 for d10 days.</t>
  </si>
  <si>
    <t>You have a difficult time hearing things. Awareness maneuvers based on hearing are made at -20.</t>
  </si>
  <si>
    <t>You are abnormally sensitive to heat. The hotter it gets, the more you suffer from the heat’s effects. Whenever the temperature is more than 80º F, you suffer a penalty to all of your actions. You suffer a penalty of -1 for every 1º F the temperature is above 80º.</t>
  </si>
  <si>
    <t>You suffer greatly from any bleeding attacks. All of your bleeding results are doubled due to your hemophilia. Any critical that states you take a number of hits per round or states that you are bleeding should have the hits per round (as indicated in the critical doubled).</t>
  </si>
  <si>
    <t>You suffer from a rare inner ear problem that makes you sensitive to water and pressure changes. Whenever it is raining or your head is underwater, you will be deafened. See the Deaf physical flaw for details on deafness. The deafness lasts for d10 minutes.</t>
  </si>
  <si>
    <t xml:space="preserve">You have a difficult time targeting from a long range. All of your spell casting and missile fire ranges are halved. </t>
  </si>
  <si>
    <t>Every time you strike someone or something, there is a 5% (non-cumulative) chance that your wrists will become immobile. While they are locked you are at -100 to any action that uses or requires wrist movement. Your wrists will return to normal after d100 minutes. There is nothing you can do to restore your wrists before they unlock themselves.</t>
  </si>
  <si>
    <t xml:space="preserve">You may suffer temporary blindness whenever you are struck in the head. Any time you receive a blow to your head, there is a 5% chance that you will be blinded for d10 minutes, after which your vision will return to you normally. See the Blind physical flaw for more information on blindness. </t>
  </si>
  <si>
    <t>You cannot speak. Any communication you make with someone else must be non-verbal. You may write or use sign language for any communication you want with another person. It is strongly recommended that the player not speak to other players to simulate the character’s muteness.</t>
  </si>
  <si>
    <t>You suffer from nose bleeds caused by changes in altitude. For every 1000' above sea level, you operate at a -5 to all of your actions (from pressure in your head as well as a bleeding nose). If you remain above 1000' for more than an hour, you starting taking 1 hit of damage per minute from the constant bleeding. The bleeding and pressure subside when you go lower than 1000'.</t>
  </si>
  <si>
    <t>You are not very quiet or subtle. You receive a special penalty of -10 to all of your skills in the Subterfuge ( Stealth category. In addition, you receive a special penalty of -15 to any Stalking or Hiding maneuvers.</t>
  </si>
  <si>
    <t xml:space="preserve">You have a poor sense of balance. You have a special penalty of -30 to all of your Stalking maneuvers. You also receive a special penalty of -30 to all maneuvers that involve balance. </t>
  </si>
  <si>
    <t xml:space="preserve">You have only one hand. You may choose which hand you have lost subject to GM’s approval. You are assumed to have developed proficiency in your one remaining hand, even if it was not your original hand preference. You cannot fight with two weapons at once, or with a shield. Climbing is very difficult, as is putting on armor. </t>
  </si>
  <si>
    <t xml:space="preserve">As the major flaw, except you have lost the whole arm. The GM should rule on how this affects you.	</t>
  </si>
  <si>
    <t>You are relatively ungraceful in your movements. You receive a special penalty of -10 to all of your moving maneuvers.</t>
  </si>
  <si>
    <t>You have lost one of your eyes. You may cover the eye with a patch, have a glass eye, or some exotic alternative. You fire missile weapons with a special penalty of -25 (due to your loss of depth perception).</t>
  </si>
  <si>
    <t xml:space="preserve">You have a low pain threshold. Every time you take damage, you must make an RR versus your own level, modified by triple SD bonus and by the number of concussion hits (as a negative modifier to the RR). If the RR fails, you fall unconscious. </t>
  </si>
  <si>
    <t>You have poor eyesight, but you have some means of correcting it that is not permanent (e.g., glasses, etc.). You are either nearsighted or farsighted. You may choose which you are when you purchase this flaw. If you are nearsighted, you receive a -30 penalty to all of your missile attacks. If you are farsighted, you receive a -30 to all of your melee attacks.</t>
  </si>
  <si>
    <t>You have poor eyesight, but you do not have a means of correcting it. You are either nearsighted or farsighted. You may choose which you are when you purchase this flaw. If you are nearsighted, you receive a -30 penalty to all of your missile attacks. If you are farsighted, you receive a -30 to all of your melee attacks.</t>
  </si>
  <si>
    <t>Poor Eyesight (greater)</t>
  </si>
  <si>
    <t xml:space="preserve">You are adversely effected by the rain. For each four hour period it rains and you are not in a completely enclosed area (no windows, covered up, etc.) you must check to see if you lose your voice. Roll d100 and add 25. If your total is greater than 100, you have lost your voice for d10 hours. </t>
  </si>
  <si>
    <t>You have fewer exhaustion points than your stats would dictate. Calculate your Exhaustion Points normally, then reduce them by 10%.</t>
  </si>
  <si>
    <t>You have fewer exhaustion points than your stats would dictate. Calculate your Exhaustion Points normally, then reduce them by 25%.</t>
  </si>
  <si>
    <t>You have fewer exhaustion points than your stats would dictate. Calculate your Exhaustion Points normally, then reduce them by 50%.</t>
  </si>
  <si>
    <t>You are slow in combat. Your moves are obvious, awkward, and weak. You receive a special penalty of -5 to your OB, DB, and your initiative rolls.</t>
  </si>
  <si>
    <t xml:space="preserve">You are slower than normal. Your base movement rate is reduced by 25%. </t>
  </si>
  <si>
    <t>All healing times received from herbs and spells are increased by “one category”; instant becomes d10 hours, d10 becomes d10 days etc. Natural healing rate is doubled.</t>
  </si>
  <si>
    <t>You suffer from uncontrollable spasms. Whenever you roll an unmodified 66, you experience a spasm. While you are having a spasm, you take d10 concussion hits of damage and are stunned for d10 rounds.</t>
  </si>
  <si>
    <t xml:space="preserve">You have a speech impediment that makes it difficult for you to speak. Any skill that requires speech will suffer a special penalty of -50 (i.e., -50 to Duping, Public Speaking, Trading, etc.). </t>
  </si>
  <si>
    <t xml:space="preserve">Whenever you wear metal (including armor), your body breaks out in a rash. The rash is itchy and painful, causing a -10 penalty to all of your actions while you have the rash. The rash stays until you remove the metal and then lasts another d10 hours after you have removed the armor. There is nothing that can prevent your allergic reaction to metal armor. </t>
  </si>
  <si>
    <t xml:space="preserve">Your legs are significantly weaker than a typical member of your race. You cannot walk more than 5 hours without resting for at least 2 hours. If you walk for more than 5 hours, there is a 25% chance that each of your legs will develop cramps (roll once for each leg). If they cramp, they will stay cramped for 2d10 hours, and be completely useless during that time. </t>
  </si>
  <si>
    <t xml:space="preserve">You have an allergy to an uncommon object (e.g., coniferous plants). You may choose what you are allergic to (subject to the GM’s approval). When you are exposed to the substance for more than one minute, your eyes start to water and your nose runs. While this is happening, you are at -20 to all of your actions. This will continue for d100 minutes after you are no longer exposed to the substance. </t>
  </si>
  <si>
    <t>You have great strength at times, but you have a very difficult time controlling it. Whenever you are in an extreme emotional state (love, happiness, hate, etc.) there is a 10% chance that you will receive triple your normal St bonus for one round. You use this strength whether you wish to or not. You could maul an enemy, or break the ribs of a friend while hugging him. You often crush or break things without meaning to. You cannot choose when to get this bonus.</t>
  </si>
  <si>
    <t>Whenever you fail a maneuver, no matter what it is, you receive an ‘A’ Unbalancing critical.</t>
  </si>
  <si>
    <t>You are particularly susceptible to a certain disease that causes your body to swell up and you to feel ill. Every week there is a 2% chance that you will develop symptoms of this disease. While suffering from this discuss you will be at -20 to all your actions due to the swelling, and your Appearance and Presence temporary stats will be halved. After d10 days, the swelling and sickness go away (your stats will return to normal).</t>
  </si>
  <si>
    <t>You have a very unique look. Something is significantly different about the way you look. This will cause people to recognize or describe you much easier. You might be disgusting to look at, or people might view you with a sense of awe. You may choose what makes you look distinctive, but it must be unique, describable, and in some way, limiting. The GM must approve any unique look. What is unique is different for each game world. Most people in a fantasy world might not be too surprised to see an Orc, but one in modern day would certainly cause quite a scene. While you are unique in your appearance, your uniqueness is relatively easy to conceal.</t>
  </si>
  <si>
    <t>As the lesser flaw, except you must use a disguise to conceal your unique looks or it causes an immediate reaction (usually negative). When not disguised, you must subtract d10 from your Appearance.</t>
  </si>
  <si>
    <t>As the lesser flaw, except you cannot conceal your looks, or there is an immediate and extreme reaction to them. Subtract 2d10 from your Appearance.</t>
  </si>
  <si>
    <t>You are extremely difficult to wake up. You cannot be awakened while you are sleeping (or meditating). In addition, you have to sleep (or meditate) at least 6 hours every night. If you are somehow (perhaps magically) awakened before receiving a full 6 hours of sleep, you will be at -10 for every hour less than 6 you slept.</t>
  </si>
  <si>
    <t xml:space="preserve">Whenever you are in an extreme state of emotion (love, happiness, anger, fear, etc.) your body starts to glow. The more extreme your emotional state, the brighter the glow. It starts as bright as a candle, but can get as luminous as a campfire. </t>
  </si>
  <si>
    <t>You do not have much body mass. Your progression for Body Development is reduced by 3 points at each stage.</t>
  </si>
  <si>
    <t>You are very intolerant of the weight that you carry. All of your encumbrance penalties are doubled.</t>
  </si>
  <si>
    <t>You are, quite frankly, a wimp. You suffer a special -20 penalty to all of the skill categories in the Athletic group, receive a -2 to your St bonus, and also have 25% fewer exhaustion points than normal.</t>
  </si>
  <si>
    <t>You have a hard time paying attention to something that is not immediately threatening. You are intensely interested in one item or idea, then you get distracted and focus on something else. You tend to ignore your surroundings when something has attracted your attention. You tend to forget things. To find an item you misplaced, or recall a conversation you recently had, you must roll 1d100 (open-ended) modified by your Me bonus. If the result is over 100, you are successful. If you fail this roll, you cannot remember. You should role play this flaw at all times. Remember that you are neither dumb nor slow, you just have a short attention span and poor concentration.</t>
  </si>
  <si>
    <t>You are addicted to a common substance (e.g., alcohol, etc.) that has an Addiction Factor of 5 or less (see Gamemaster Law for more information on addiction &amp; withdrawal). Your addiction starts as a level 1 addiction to the substance.</t>
  </si>
  <si>
    <t>You are addicted to a common substance (e.g., alcohol, etc.) that has an Addiction Factor of 10 or less (see Gamemaster Law for more information on addiction &amp; withdrawal). Your addiction starts as a level 1 addiction to the substance.</t>
  </si>
  <si>
    <t>You are addicted to a common substance (e.g., alcohol, etc.) that has an Addiction Factor of 20 or less (see Gamemaster Law for more information on addiction &amp; withdrawal). Your addiction starts as a level 1 addiction to the substance.</t>
  </si>
  <si>
    <t>You are addicted to a common or illegal substance that has an Addiction Factor of 5 or less (see Gamemaster Law for more information on addiction &amp; withdrawal). Your addiction starts as a level 1 addiction to the substance.</t>
  </si>
  <si>
    <t>You are addicted to uncommon or illegal that has an Addiction Factor of 10 or less (see Gamemaster Law for more information on addiction &amp; withdrawal). Your addiction starts as a level 1 addiction to the substance.</t>
  </si>
  <si>
    <t>You are addicted to uncommon or illegal that has an Addiction Factor of 20 or less (see Gamemaster Law for more information on addiction &amp; withdrawal). Your addiction starts as a level 1 addiction to the substance.</t>
  </si>
  <si>
    <t>You are addicted to a common substance (e.g., alcohol, etc.) that has an Addiction Factor of 50 or less (see Gamemaster Law for more information on addiction &amp; withdrawal). Your addiction starts as a level 1 addiction to the substance. If the substance is not common or it is illegal, this flaw will also count as a Minor flaw (or -10 points) for the purposes of taking other talents</t>
  </si>
  <si>
    <t>You are addicted to a common substance (e.g., alcohol, etc.) that has an Addiction Factor of 30 or less (see Gamemaster Law for more information on addiction &amp; withdrawal). Your addiction starts as a level 1 addiction to the substance. If the substance is not common or it is illegal, this flaw will also count as a Minor flaw (or -10 points) for the purposes of taking other talents</t>
  </si>
  <si>
    <t xml:space="preserve">You have a great tendency towards violence when you are dealing with a stressful situation. Whenever you are insulted or offended, or under stress, you may respond with a violent attack. Roll d100 (open-ended), add 40, and subtract triple your SD bonus. If the result is greater than 100, you have lost your temper. You must respond to the situation in a violent, although not necessarily fatal, action. It takes approximately d10 rounds of quiet for you to calm down and regain your composure. </t>
  </si>
  <si>
    <t xml:space="preserve">Whenever more than one foe is fighting you at a time, you must make an Observation maneuver each round. If you fail this roll, you may take no action that round. </t>
  </si>
  <si>
    <t>You experience guilt and become depressed anytime you cause the death or injury of a human or humanoid race. You are reluctant to enter combat with them. If you harm or kill a humanoid, you will operate at a -25 for the next d10 days while you deal with your guilt.</t>
  </si>
  <si>
    <t xml:space="preserve">Whenever you are in a fight, you want to see your foes die. You always use lethal force, even in a bar fight. You make sure a defeated foe is dead, even if they already seem to be. You do not necessarily have a short fuse–you could be a calm individual. When you enter combat, however, you go for the throat. If there comes a time when you must accept a foe’s surrender, you must roll d100 (open-ended) and add triple your SD bonus. If your total is greater than 100, you may prevent yourself from killing him. </t>
  </si>
  <si>
    <t xml:space="preserve">You must fight in an honorable and chivalrous manner. Your whole code of ethics is based on doing what is honorable and right. You will always fight fair. This includes returning a weapon to a foe if they lose it, dismounting if your foe is not mounted, and never attacking people from behind. You always maintain a high standard of courtesy. </t>
  </si>
  <si>
    <t>You have a behavior that you must indulge in as often as possible. You may choose your behavior, subject to the GM’s approval. You like to spend a lot of time on your behavior, and a considerable amount of your income. If a time comes when you want to avoid your compulsive behavior, you must roll d100 (open-ended) and add triple your SD bonus. If the result is greater than 100, you may avoid your Compulsive Behavior.</t>
  </si>
  <si>
    <t>You suffer from delusions. This delusion is mostly minor (e.g., the planet is flat). The GM must approve any delusion, and you must role play it every time a moment becomes available.</t>
  </si>
  <si>
    <t>You suffer from delusions. This delusion has potentially fatal repercussions. The GM must approve any delusion, and you must role play it every time a moment becomes available.</t>
  </si>
  <si>
    <t>You suffer from delusions. This delusion is one that will affect your life quite dramatically, but does not prevent you from functioning in society. The GM must approve any delusion, and you must role play it every time a moment becomes available.</t>
  </si>
  <si>
    <t>You have vowed not to use weapons. You receive a -15 penalty to all of your skill categories in the Weapons group.</t>
  </si>
  <si>
    <t>You are easy to hit when being ambushed. Whenever someone uses Ambush against you, you receive -50 to your Sense Ambush skill maneuver (and they are treated as if they have an extra five ranks in the Ambush skill when they are adjusting the critical result).</t>
  </si>
  <si>
    <t>You believe very strongly in one ideal or person. This could be a ruler, a loved one, a country, or a religion. This faith is more important to you than anything else, even to fault. You will probably not notice any failings in what you believe in, and you may even be willing to die for it. You follow the code or commands of what you believe in faithfully and fanatically. You can see no greater way to serve what you believe in.</t>
  </si>
  <si>
    <t>You fear nothing. In fact, you consider planning or waiting to be cowardly. You would rather pull out your weapon and charge headlong into battle. Whenever you find yourself in a combat situation, roll d100 (open-ended), add 40 and subtract triple your SD bonus. If the result is greater than 100, you will charge into combat without regard for either your or anyone else’s safety.</t>
  </si>
  <si>
    <t>You have a severe dislike of armor. All skills in the Armor group are now classified as restricted skills.</t>
  </si>
  <si>
    <t>You fear magic. You either do not understand how it works, or you believe that it is something man was not meant to use. Consequently, you can have no base lists, and you cannot learn any spell lists. You can't use any magic items.</t>
  </si>
  <si>
    <t>You like to eat and drink. You will never willingly pass up a meal offered to you. If it is necessary for you not to eat, you must roll d100 (open-ended) and add triple your SD bonus. If your result is less than 101, your will breaks and you start eating and drinking as much as possible. If there is no food available, you may change your opinion of what is edible and tasty. You are also overweight. Some social circles may look down on your avarice for food.</t>
  </si>
  <si>
    <t xml:space="preserve">You lust after wealth; you can never have enough money. Anytime a chance to make more money becomes available to you, you must roll d100 (open-ended) and add triple your SD bonus. If the result is over 100, you can pass up the opportunity. You will probably not hesitate if the money-making activity presented to you is shady. </t>
  </si>
  <si>
    <t xml:space="preserve">You tend to act first and think later. You do not wait around for events to unfold themselves, you charge into the fray and see what happens around you. You almost never think your decisions through. You just take life as it is sent to you. You should try hard to accurately role play this flaw. If you charge into every combat, but carefully check each door or wall for traps, the GM may invalidate your impulsiveness. </t>
  </si>
  <si>
    <t>You are indecisive. Your indecisiveness shows most when you are forced to make a snap decision. You suffer a -50 penalty to all of your snap actions due to your indecisiveness, instead of the standard -20.</t>
  </si>
  <si>
    <t>You have a deep irrational hatred for some type of person. The GM must approve what it is you are intolerant of. Whenever you see what you are intolerant of, you must try to show your distaste for whatever it is. You are intolerant of a small group of people (up to 100,000).</t>
  </si>
  <si>
    <t>You have a deep irrational hatred for some type of person. The GM must approve what it is you are intolerant of. Whenever you see what you are intolerant of, you must try to show your distaste for whatever it is. You are intolerant of a large  group of people (over 100,000).</t>
  </si>
  <si>
    <t>You have an irrational compulsion to steal whenever the opportunity presents itself. What you steal is irrelevant. It does not have to be of value, or interest to you. Whenever circumstances favor stealing, you must roll d100 (open-ended) and add triple your SD bonus. If the result is less than 101, you must steal the closest item that you can hide on your person. You can never return stolen items, nor may you discard them. You may, however, give them to another person, or even sell them.</t>
  </si>
  <si>
    <t>You have a very strong desire to interact with the opposite sex. Anytime you see an attractive member (Appearance greater than 50) of the opposite sex, you must try to allure them to you, no matter what else is happening. This could lead to a serious breech of etiquette, but you cannot help yourself. If you feel the need to restrain yourself from seducing someone, you must roll d100 (open-ended), subtract their Appearance, add triple your SD bonus, and subtract 50. If the result is over 100, you may stop yourself from making a pass.</t>
  </si>
  <si>
    <t xml:space="preserve">You believe strongly that you will fulfill a certain goal. You believe that it has been predestined that you complete your goal. And your goal is no trivial task. You may choose whatever goal you wish (subject to the GM’s approval) but your goal must be grandiose. You will not let anything stand between you and your goal. People around you consider you to be much to concerned with yourself. After talking with you for even a few minutes, they should realize your megalomania. </t>
  </si>
  <si>
    <t>You suffer from occasional memory loss. Once per month for a period of one week, you will experience a random memory loss. You will lose d10 hours of memories each day for the entire week. When the week is finished, your memories will gradually start coming back; d10 hours of memories every d10 days. Actions taken during the period of memory loss can gain no experience points. The GM should determine exactly what you forget and when in the month your memory starts to go away.</t>
  </si>
  <si>
    <t xml:space="preserve">You have a fear of one uncommon thing (dragons, ogres, etc.) subject to the GM approval. Whenever you encounter that which you fear, there is a 50% chance that you immediately turn and flee. If you do not flee, there is a 25% chance that you will fall unconscious for d10 hours. While you are unconscious, it is almost impossible to revive you. </t>
  </si>
  <si>
    <t xml:space="preserve">You have a fear of one common thing (eg. women) subject to the GM approval. Whenever you encounter that which you fear, there is a 50% chance that you immediately turn and flee. If you do not flee, there is a 25% chance that you will fall unconscious for d10 hours. While you are unconscious, it is almost impossible to revive you. </t>
  </si>
  <si>
    <t xml:space="preserve">You are extremely concerned with keeping your money. You are not necessarily greedy, although you could be; you undeniably want to keep the money you have. It is very difficult for you to spend money. If you must make a large purchase (GM’s discretion), roll d100 (openended) and add triple your SD bonus. If the result is less than 101, you cannot convince yourself the expenditure is worthwhile, and you keep your money. </t>
  </si>
  <si>
    <t>You have a hard time noticing things. You receive a -15 penalty to all skill categories in the Awareness group.</t>
  </si>
  <si>
    <t>You are very confident in your abilities. In fact, you believe that you are better than you actually are. You do not necessarily have to be loud and boastful to be overconfident. You might be quiet yet driven. If you wish to proceed cautiously into a new situation, you must roll d100 (open-ended) and add triple your SD bonus. If the result is greater than 100, you may proceed with caution. You can rally young and/or gullible people around you. They tend to think that you are as good as you say you are. Older or experienced people might look at you as being headstrong and impatient.</t>
  </si>
  <si>
    <t>You do not believe in violence. You feel that it accomplishes nothing and use it only when needed. You believe in life preservation. You may fight freely. You may even start a fight. The only thing you cannot do is kill. You can neither kill your foe nor allow them to be killed. For instance, you cannot leave a bleeding foe, lure a foe into a lethal trap, allow a comrade to administer a killing blow for you, etc. If you accidentally kill someone or something, you will suffer from severe depression (-75 to all actions) for 3d10 days.</t>
  </si>
  <si>
    <t>As the minor flaw, except this is defensive pacifism. You may only fight if you need to defend yourself or those under your care. You cannot initiate combat (which includes goading someone into attack you). You also try to keep others around you from fighting.</t>
  </si>
  <si>
    <t xml:space="preserve">As the minor flaw, except this is total nonviolence. You are completely against any sort of violence. You will not protect yourself or those under your care with any form of violence, even indirect. The only exception is that you can defend yourself from creatures with animal intelligence (as they are reacting on instinct rather than sentient thought). </t>
  </si>
  <si>
    <t>You believe that everyone wants to cause you harm. You stay constantly alert, watching those who are plotting against you. You may have one or two true friends you can trust, but you are wary of everyone else. Although, how do you know you can trust them? Maybe they are trying to lead you into a false sense of security. People tend to react negatively to paranoid people, and you could suffer from delusions as well as being paranoid. You should try your best to role play your paranoia. Trust no one. Remember, just because you are paranoid does not mean that they are not out to get you.</t>
  </si>
  <si>
    <t>You are passive, especially concerning combat. Whenever you are involved in a fight, you receive a special penalty of -15 to your OB until you get “worked up.” At the end of every round, you may roll to see if you are worked up. Roll d100 (open-ended), add 20, and add triple your SD bonus. If the result is over 100, you have succeeded in working yourself up. You may not use the Frenzy skill while you are passive.</t>
  </si>
  <si>
    <t>You have a phobia, an irrational fear of something. Whenever you are confronted with your phobia, you must make an RR versus a 10th level Fear attack. If you fail, you become paralyzed with fear for one round per 10% failure. If you must interact with whatever is causing your phobia (e.g. fighting something you have a phobia of or swimming when you have a fear of water), all of your actions suffer a special penalty of -25. You may choose what you are afraid of (subject to GM approval). The thing you are afraid of will only be encountered occasionally (or will not require you to interact with it very much; e.g., fear of the number 13, or the fear of mechanical devices in a medieval setting).</t>
  </si>
  <si>
    <t xml:space="preserve">You have a phobia, an irrational fear of something. Whenever you are confronted with your phobia, you must make an RR versus a 10th level Fear attack. If you fail, you become paralyzed with fear for one round per 10% failure. If you must interact with whatever is causing your phobia (e.g. fighting something you have a phobia of or swimming when you have a fear of water), all of your actions suffer a special penalty of -25. You may choose what you are afraid of (subject to GM approval). The thing you are afraid of will only be encountered more often (e.g., the fear of heights or the fear of enclosed spaces). </t>
  </si>
  <si>
    <t>You have a phobia, an irrational fear of something. Whenever you are confronted with your phobia, you must make an RR versus a 10th level Fear attack. If you fail, you become paralyzed with fear for one round per 10% failure. If you must interact with whatever is causing your phobia (e.g. fighting something you have a phobia of or swimming when you have a fear of water), all of your actions suffer a special penalty of -25. You may choose what you are afraid of (subject to GM approval). The thing you are afraid of will only be encountered almost daily (e.g., the fear of water, crowds, bladed objects, etc.).</t>
  </si>
  <si>
    <t>Due to your short attention span, anything you must concentrate on for more than half a minute (most uses of the Lore category, some spells, loading artillery, complex rituals, etc.) is penalized by -25.</t>
  </si>
  <si>
    <t>You have an irrational attraction to fire. You like to watch it burn, smell the smoke, feel the heat. You will set fires whenever possible, and you will occasionally feel the urge to set a fire without reason. If you want to resist your urge for setting a fire, you must roll d100 (open-ended) and add triple your SD bonus. If the result is over 100, you may resist the urge to start a fire. You can become hypnotized by a fire, and will always stop to appreciate any fire that you come across. You receive a +50 bonus to starting a campfire.</t>
  </si>
  <si>
    <t>Queasy — Any time you see blood or gore, it makes you uneasy. Each time you even glance at something gory, you must roll d100 (open-ended) and add triple your SD bonus. If the result is less than 101, you will operate at a -30 until you can get away from the scene.</t>
  </si>
  <si>
    <t>You enjoy causing pain, either mentally or physically. Whenever you can you must indulge your sadistic habits. You may conceal your weakness from close friends for a little while, but eventually they start to notice the pain you inflict on those around you. People react negatively to a known sadist, many will want to see you burned at the stake. Please note that this is not a “good” or “heroic” flaw for you to possess. It is more suitable for a truly evil character. The GM may prohibit characters from choosing this option.</t>
  </si>
  <si>
    <t xml:space="preserve">You feel that you have a responsibility towards someone or something. This is an internal feeling, one you have placed upon yourself. You will never betray, harm, or mislead those to whom you have a Sense of Duty. Your Sense of Duty is towards a close friend or small group </t>
  </si>
  <si>
    <t xml:space="preserve">You feel that you have a responsibility towards someone or something. This is an internal feeling, one you have placed upon yourself. You will never betray, harm, or mislead those to whom you have a Sense of Duty. Your Sense of Duty is towards a large group or organization (a town or city). </t>
  </si>
  <si>
    <t>You feel that you have a responsibility towards someone or something. This is an internal feeling, one you have placed upon yourself. You will never betray, harm, or mislead those to whom you have a Sense of Duty. Your Sense of Duty is towards a country or equally large group.</t>
  </si>
  <si>
    <t>You have from one to three additional personalities. Your physical attributes like height, weight, and hair color do not change. Your non-physical attributes can all be different, as well as each of their professions. The alignment, personality, and level can vary among personalities. Each of the personalities earns experience separately; you must keep track of which personality performed which actions so you can award the appropriate experience to each personality. You and the GM must decide what triggers the change in your personalities.</t>
  </si>
  <si>
    <t xml:space="preserve">You are very stubborn. You want results your way, and even if you do not get it, you will not change your mind. Your comrades may have to resort to duping you into doing what they need you to do. </t>
  </si>
  <si>
    <t>You are superstitious, often reading omens into anything you encounter. You always observe the various good luck and bad luck practices of your culture. Your mood and morale are often affected by these omens.</t>
  </si>
  <si>
    <t>You suffer from flashbacks that completely immobilize you for d10 minutes. The trigger for these flashbacks is something uncommon. You may pick what triggers your flashbacks (subject to GM approval) but it should be at least loosely connected to the trauma that causes your flashbacks. If you are attacked while immobilized, any hit that delivers a critical to you will cause you to snap out of your trance.</t>
  </si>
  <si>
    <t>You suffer from flashbacks that completely immobilize you for d10 minutes. The trigger for these flashbacks is a very common occurrence (every time a horse rides by). You may pick what triggers your flashbacks (subject to GM approval) but it should be at least loosely connected to the trauma that causes your flashbacks. If you are attacked while immobilized, any hit that delivers a critical to you will cause you to snap out of your trance.</t>
  </si>
  <si>
    <t>You suffer from flashbacks that completely immobilize you for d10 minutes. The trigger for these flashbacks is a common occurrence (e.g. a ringing bell). You may pick what triggers your flashbacks (subject to GM approval) but it should be at least loosely connected to the trauma that causes your flashbacks. If you are attacked while immobilized, any hit that delivers a critical to you will cause you to snap out of your trance.</t>
  </si>
  <si>
    <t xml:space="preserve">You cannot lie. Either there is some physical reason why you cannot lie, or you are so terrible at it that anyone instantly knows when you are lying. The Duping and Falsification skills are classified as restricted for you. You also cannot just refuse to tell the truth. If you are ever in a situation which you do not wish to speak, for fear of revealing some truth, you must roll d100 (openended) and add triple your SD bonus. If the result is greater than 100, you may prevent yourself from spilling out the truth. This is not a vow to always tell the truth, this is an actual inability to lie. </t>
  </si>
  <si>
    <t xml:space="preserve">You have taken a vow either to do or not do something. This is a vow that you believe in very strongly and has been sealed through some formal ritual. Your vow may end after a certain task is accomplished (avenge the death of your parents) or may be lifelong (vow of silence). You cannot take a Vow to accomplish some task and also take the same task as your Lifetime Goal (see the appropriate Talent). You must always follow your vow. If you do not, you will penalized by the GM. The vow you have made will not inconvenience you much in your daily activities (e.g., giving 10% tithe to the church, showing respect towards politicians, or never wearing black clothes, etc.). If you fail to fulfill a vow at any time, some calamity will fall on you. The severity of the calamity depends on the severity of the vow you took. The Gamemaster must give the final approval for any vow you wish to take. </t>
  </si>
  <si>
    <t xml:space="preserve">You have taken a vow either to do or not do something. This is a vow that you believe in very strongly and has been sealed through some formal ritual. Your vow may end after a certain task is accomplished (avenge the death of your parents) or may be lifelong (vow of silence). You cannot take a Vow to accomplish some task and also take the same task as your Lifetime Goal (see the appropriate Talent). You must always follow your vow. If you do not, you will penalized by the GM. The vow you have made will affect you often during a typical day. Most people will become aware of your vow after only being with you a few hours. This vow also limits you in some significant way (e.g., never using edged weapons, never keeping more money than needed to clothe yourself, never speaking, etc.). If you fail to fulfill a vow at any time, some calamity will fall on you. The severity of the calamity depends on the severity of the vow you took. The Gamemaster must give the final approval for any vow you wish to take. </t>
  </si>
  <si>
    <t xml:space="preserve">You have taken a vow either to do or not do something. This is a vow that you believe in very strongly and has been sealed through some formal ritual. Your vow may end after a certain task is accomplished (avenge the death of your parents) or may be lifelong (vow of silence). You cannot take a Vow to accomplish some task and also take the same task as your Lifetime Goal (see the appropriate Talent). You must always follow your vow. If you do not, you will penalized by the GM. The vow you have made will affect you on a daily basis, but not prohibit you from functioning fairly normally (e.g., chastity, eating no meat, never sleeping in a covered area, etc.). If you fail to fulfill a vow at any time, some calamity will fall on you. The severity of the calamity depends on the severity of the vow you took. The Gamemaster must give the final approval for any vow you wish to take. </t>
  </si>
  <si>
    <t xml:space="preserve">You have taken a vow either to do or not do something. This is a vow that you believe in very strongly and has been sealed through some formal ritual. Your vow may end after a certain task is accomplished (avenge the death of your parents) or may be lifelong (vow of silence). You cannot take a Vow to accomplish some task and also take the same task as your Lifetime Goal (see the appropriate Talent). You must always follow your vow. If you do not, you will penalized by the GM. The vow you have made will affect almost every one of your decisions. People will become aware of your vow quickly, and can use it to manipulate you into performing or preventing a particular task (e.g., aiding those who ask, challenge all who wrong you, fight with a lesser weapon than your foe, etc.). If you fail to fulfill a vow at any time, some calamity will fall on you. The severity of the calamity depends on the severity of the vow you took. The Gamemaster must give the final approval for any vow you wish to take. </t>
  </si>
  <si>
    <t>All weapon skills (except skills in your primary weapon category) are now classified as restricted for you. Your primary weapon category is the one with the cheapest development point cost.</t>
  </si>
  <si>
    <t>While you can operate normally with respect to concentration, you often get headaches and nosebleeds after extended periods. After you finish concentrating on any task that required concentration to complete, there is a chance you will get a serious headache and/or nosebleed. The chance is equal to 1% per round spent in concentration on the activity. This results in a special modification of -10 to all maneuvers for the next hour. In addition, all spells that you cast in the next hour will require a Spell Casting Static Maneuver.</t>
  </si>
  <si>
    <t xml:space="preserve">You are cursed to randomly change shape into an animal. You are never sure what animal you will become with each transformation. Each week, there is a 5% (non-cumulative) chance that you will change shape into an animal. The change lasts for d10 days, and the animal you change into is determined by the GM (he could choose to use the table below). You can be assured that the animal you do change into will be small and nonthreatening. </t>
  </si>
  <si>
    <t xml:space="preserve">You have made some kind of deal with a dark or demonic force (the deal resulted in your most powerful talent). You will be visited at random times by this force to be reminded of your deal. This force will never aid you in any way, and may even hinder you if an opportunity presents itself. The actual specifications of the deal are up to the GM to decide. </t>
  </si>
  <si>
    <t>You have learned one evil spell list up to 50th level. To receive the knowledge of this list, you had to consort with dark and evil things. You have become tainted by this evil and are forever tempted to the “Dark Side.” The GM will control the details, but you are constantly in a spiritual battle between what you know is good and the evil inside of you. You begin the game with 10d10 corruption points, and all corruption points gained later are doubled.</t>
  </si>
  <si>
    <t xml:space="preserve">You have a person in your life that you deeply care about. This dependent may be used against you in order to persuade you to do something you would normally be against. In addition, your dependent could inadvertently walk into a situation that requires you to rescue them. For instance, your child could follow you into a haunted house wanting to see what you are doing. Your dependent requires you to protect him in some way (to be a disadvantage). A family that stays at home in the country, free from harm is not a dependent. Nor is your brother who happens to be the greatest swordsman in the Northern plains. If they are able to protect themselves, they are not dependents. Your dependent is a single person of average ability. </t>
  </si>
  <si>
    <t>As the lesser flaw, except you have more than one dependent, or you have one person who has below average capabilities</t>
  </si>
  <si>
    <t>As the lesser flaw, except you have more than one dependent and they all have below average capabilities.</t>
  </si>
  <si>
    <t xml:space="preserve">You have a responsibility to a particular individual or organization. Whenever they call upon you to do something, you are duty-bound to cease everything you are working on and take care of the situation. A duty is something imposed upon you from the outside, not something you feel you have to do (i.e., a Sense of Duty). You may determine exactly who or what you have a duty to, but the GM must approve it. Once per month, the GM will make a roll to determine if you are called to duty during that month. The percentage chance that you will be summoned is 25%. </t>
  </si>
  <si>
    <t xml:space="preserve">You have a responsibility to a particular individual or organization. Whenever they call upon you to do something, you are duty-bound to cease everything you are working on and take care of the situation. A duty is something imposed upon you from the outside, not something you feel you have to do (i.e., a Sense of Duty). You may determine exactly who or what you have a duty to, but the GM must approve it. Once per month, the GM will make a roll to determine if you are called to duty during that month. The percentage chance that you will be summoned is 55%. </t>
  </si>
  <si>
    <t xml:space="preserve">You have a responsibility to a particular individual or organization. Whenever they call upon you to do something, you are duty-bound to cease everything you are working on and take care of the situation. A duty is something imposed upon you from the outside, not something you feel you have to do (i.e., a Sense of Duty). You may determine exactly who or what you have a duty to, but the GM must approve it. Once per month, the GM will make a roll to determine if you are called to duty during that month. The percentage chance that you will be summoned is 75%. </t>
  </si>
  <si>
    <t>Whenever you are casting an attack spell and the spell fails, you do not roll on the attack spell fumble table. Instead, the spell affects one of your allies. The GM randomly determines who it affects, and the friend may make a normal RR. If there are no friends within the range of the spell, then roll a failure normally.</t>
  </si>
  <si>
    <t xml:space="preserve">You have difficulty controlling the scope of your spells. The area of effect for each of your spells is halved (rounded up). For example, a spell that can affect one person will still affect one person; but a spell that had a 10 foot radius would be halved to a 5 foot radius. This only affects spells with an area of effect with a radius or # of targets. </t>
  </si>
  <si>
    <t>You have difficulty making your spells last as long as they should. All of the spells you cast have their duration reduced in half (rounded up to the nearest round).</t>
  </si>
  <si>
    <t>You are a were-creature. You and your GM will determine what type of creature you are. Every full moon, you transform into your beastly form. This is an uncontrollable, psychotic type of lycanthropy. While you are in your animal form, you have a bestial desire to kill and destroy. Anything you were wearing while you underwent your transformation is ripped off of your body. Anyone you bite may contract lycanthropy (see Creatures &amp; Monsters for more details on lycanthropy). They may make a RR versus disease (using your level as the attack level) to prevent the infection from taking hold.</t>
  </si>
  <si>
    <t>You have a severe allergy to magic. You may choose the realm that you are allergic to. Whenever you try to use magic from that realm and Arcane magic (either spells or magical items), there is a 50% chance that you will drop to the ground in a convulsion. While you are convulsing, you can perform no actions. The convulsions last for d10 rounds, after which you may act normally. If you are near someone (within 10') who uses a magic item or casts a spell from the realm you are allergic to, there is a 10% chance that you will fall into a convulsion.</t>
  </si>
  <si>
    <t>You have a severe allergy to magic. You may choose the two realms that you are allergic to. Whenever you try to use magic from those realms and Arcane magic (either spells or magical items), there is a 50% chance that you will drop to the ground in a convulsion. While you are convulsing, you can perform no actions. The convulsions last for d10 rounds, after which you may act normally. If you are near someone (within 10') who uses a magic item or casts a spell from the realm you are allergic to, there is a 10% chance that you will fall into a convulsion.</t>
  </si>
  <si>
    <t>You have a severe allergy to magic in all realms. Whenever you try to use magic (either spells or magical items), there is a 50% chance that you will drop to the ground in a convulsion. While you are convulsing, you can perform no actions. The convulsions last for d10 rounds, after which you may act normally. If you are near someone (within 10') who uses a magic item or casts a spell from the realm you are allergic to, there is a 10% chance that you will fall into a convulsion.</t>
  </si>
  <si>
    <t xml:space="preserve">You are particularly susceptible to magic. You may choose how vulnerable you actually are and to which realms your vulnerability extends. You may receive a -25 penalty to your Resistance Roll for spells from one particular realm (you choose), or you may receive a -15 penalty to your Resistance Rolls from all spells and spell devices. </t>
  </si>
  <si>
    <t>You are especially vulnerable to magic. Any spell cast with you as the target receives a modifier of +10 to its roll (either the BAR or EAR).</t>
  </si>
  <si>
    <t>You have prepared yourself for your eventual death. You have studied different tomes and learned of a certain ritual that you could perform to ensure life after death. You have performed that ritual, and are ready for your own death. When your soul finally leaves your body, your body will become either a lich or a powerful vampire, at your discretion. It will certainly take time to adjust to your new lifestyle. You are truly an evil and horrific creature. Upon reaching negative hits, you will not heal normally and will loose one hit per minute until you have died. In addition, you have a natural resistance to all Lifegiving and Preservation spells and spell effects; they may not normally be cast upon you at all (as you are considered an “unwilling” target). What exactly happens to you after you die is subject to the GM’s approval.</t>
  </si>
  <si>
    <t>Your mind is an open book. You are no easier to influence or control than anyone else but your thoughts just leak out. You receive a special modifier of -50 to RRs versus spells of sub-type “m” that attempt to dig information out of your mind (e.g., Telepathy)</t>
  </si>
  <si>
    <t>You are part animal. The GM decides what kind of animal. You were raised by normal parents and appear like any other member of your race. On different occasions, the animal in you will control your actions. When this happens and what actions you take are determined by you and the GM. For instance, if you are part dog, you might mark your territory whenever possible.</t>
  </si>
  <si>
    <t>When you cast a non-attack spell that fails, you must roll on the “Attack Spell” section of the Spell Failure Table A-10.11.2 (RMFRP, p. 241). If you cast an attack spell that fails, you must add 10 to your spell failure roll.</t>
  </si>
  <si>
    <t>You cannot store power like most people. Your power point progression is lowered by two points.</t>
  </si>
  <si>
    <t>You have a habit that is considered repulsive by the majority of society. You may choose the habit (subject to the GM’s approval). You must make a conscious effort to perform this habit whenever possible. When people notice your habit, they will tend to regard you with disdain, possibly loathing. Your habit annoys people, but does not disgust them. This habit could range from always boasting loudly to all around you, to having bad breath, to relieving yourself in public. Again, the GM has the last say on any habit.</t>
  </si>
  <si>
    <t>You have a habit that is considered repulsive by the majority of society. You may choose the habit (subject to the GM’s approval). You must make a conscious effort to perform this habit whenever possible. When people notice your habit, they will tend to regard you with disdain, possibly loathing. Your habit annoys people and they are disgusted by your habit. This habit could range from always boasting loudly to all around you, to having bad breath, to relieving yourself in public. Again, the GM has the last say on any habit.</t>
  </si>
  <si>
    <t>You have a habit that is considered repulsive by the majority of society. You may choose the habit (subject to the GM’s approval). You must make a conscious effort to perform this habit whenever possible. When people notice your habit, they will tend to regard you with disdain, possibly loathing. Your habit annoys people and they get up and leave the room. This habit could range from always boasting loudly to all around you, to having bad breath, to relieving yourself in public. Again, the GM has the last say on any habit.</t>
  </si>
  <si>
    <t>You have a rival. Your relationship to this rival and what caused you to become rivals are up to you. Your rivalry could be romantic, professional, or personal. Whenever possible, your rival will do his best to outdo you, even hinder you. This rivalry is rarely, if ever, violent. Both of you respect each other too much to kill one another. You will even endanger yourself and your comrades if it gives you the chance to outdo your rival. The rival is either a personal, romantic, or professional rival. The GM must approve all rivalries.</t>
  </si>
  <si>
    <t>You have a rival. Your relationship to this rival and what caused you to become rivals are up to you. Your rivalry could be romantic, professional, or personal. Whenever possible, your rival will do his best to outdo you, even hinder you. This rivalry is rarely, if ever, violent. Both of you respect each other too much to kill one another. You will even endanger yourself and your comrades if it gives you the chance to outdo your rival. The rival is some combination of personal, romantic, and/or professional. The GM must approve all rivalries.</t>
  </si>
  <si>
    <t>You have a rival. Your relationship to this rival and what caused you to become rivals are up to you. Your rivalry could be romantic, professional, or personal. Whenever possible, your rival will do his best to outdo you, even hinder you. This rivalry is rarely, if ever, violent. Both of you respect each other too much to kill one another. You will even endanger yourself and your comrades if it gives you the chance to outdo your rival. The rival is some combination of personal, romantic, and/or professional. The rival has an upper hand in the rivalry (either due to status or some other advantage). The GM must approve all rivalries.</t>
  </si>
  <si>
    <t>You have a PC rival. Your relationship to this rival and what caused you to become rivals are up to you. Your rivalry could be romantic, professional, or personal. Whenever possible, your rival will do his best to outdo you, even hinder you. This rivalry is rarely, if ever, violent. Both of you respect each other too much to kill one another. You will even endanger yourself and your comrades if it gives you the chance to outdo your rival. The rival is either a personal, romantic, or professional rival. The GM must approve all rivalries.</t>
  </si>
  <si>
    <t>You have a PC rival. Your relationship to this rival and what caused you to become rivals are up to you. Your rivalry could be romantic, professional, or personal. Whenever possible, your rival will do his best to outdo you, even hinder you. This rivalry is rarely, if ever, violent. Both of you respect each other too much to kill one another. You will even endanger yourself and your comrades if it gives you the chance to outdo your rival. The rival is some combination of personal, romantic, and/or professional. The GM must approve all rivalries.</t>
  </si>
  <si>
    <t>You have a PC rival. Your relationship to this rival and what caused you to become rivals are up to you. Your rivalry could be romantic, professional, or personal. Whenever possible, your rival will do his best to outdo you, even hinder you. This rivalry is rarely, if ever, violent. Both of you respect each other too much to kill one another. You will even endanger yourself and your comrades if it gives you the chance to outdo your rival. The rival is some combination of personal, romantic, and/or professional. The rival has an upper hand in the rivalry (either due to status or some other advantage). The GM must approve all rivalries.</t>
  </si>
  <si>
    <t>You have a secret that if discovered will cause you much embarrassment and pain. You may choose the actual secret you are keeping and it can be related to another flaw you have. You also may choose what could happen to you if the secret was revealed. The GM must approve all secrets. You must do your best to keep your secret; you are terribly embarrassed about the situation and will do whatever it takes to keep it quiet. If the secret were found out, it would cause you great embarrassment.</t>
  </si>
  <si>
    <t>You have a secret that if discovered could cause you to be either exiled or imprisoned or it could cause you to be injured severely (but not killed). You may choose the actual secret you are keeping and it can be related to another flaw you have. You also may choose what could happen to you if the secret was revealed. The GM must approve all secrets. You must do your best to keep your secret; you are terribly embarrassed about the situation and will do whatever it takes to keep it quiet. If the secret were found out, it would cause you great embarrassment.</t>
  </si>
  <si>
    <t>You have an alternate identity that you keep hidden from the general public. You actually lead a double life, one as yourself and one as your alter-ego. You also have a group of people who are interested in who you really are, thus making you cautious about who you disclose your identity to. The GM must ascertain that there is really a need for a secret identity, or that there is someone or something that cares about the character’s real identity.</t>
  </si>
  <si>
    <t>You receive a special penalty of -3 to a random stat.</t>
  </si>
  <si>
    <t>You receive a special penalty of -8 to a random stat.</t>
  </si>
  <si>
    <t>You receive a special penalty of -5 to a random stat.</t>
  </si>
  <si>
    <t>Whenever you roll an 01 the action you are attempting fails in the most complete way possible. Equipment you are using breaks (magic items get a RR); you fall and injure yourself; virtually anything the GM can conceive. The only restriction is that whatever happens cannot be instantly fatal. For example, a rope you are climbing could break, provided that there was a way, no matter how small, that you could survive the fall.</t>
  </si>
  <si>
    <t>You have a special vulnerability to a particular race. The GM chooses the race you are vulnerable to, but it cannot be your own. You may be vulnerable to the “half” race of your race (i.e. an elf may be vulnerable to half-elves, etc.). Whenever you receive a critical from someone of that race, the critical is resolved as a Slaying critical. Needless to say, you tend to avoid that race whenever possible.</t>
  </si>
  <si>
    <t>You have bad luck. All of your fumble/failure ranges are increased by one. For example, in normal maneuvers, you will fumble on a result of 01 to 06 (instead of 01 to 05).</t>
  </si>
  <si>
    <t>The character just cannot master other languages. All languages except his native language are classified as Restricted and he can never develop more than 5 ranks in any language except his native language.</t>
  </si>
  <si>
    <t xml:space="preserve">Many people have commented that your magical aura is unusual and unique. It makes you easy to spot magically. This translates into a special modifier of -15 to RRs versus magical attempts to find you as an individual. Note that this gives no penalty versus Presence (and similar) spells which detect that an aura is present (only spells, such as Finding, which try and find specific aura). </t>
  </si>
  <si>
    <t>Added talent and flaw descriptions.</t>
  </si>
  <si>
    <t>Subterfuge Attack</t>
  </si>
  <si>
    <t>Combat Manoevres</t>
  </si>
  <si>
    <t>Sarake532</t>
  </si>
  <si>
    <t>8512</t>
  </si>
  <si>
    <t>Lossedel</t>
  </si>
  <si>
    <t>Read Ice: "Yoy may sense what has passed by or affected a patch of ice over the past 24 hours. The "Reading" is often vague or shadowy.</t>
  </si>
  <si>
    <t>+30 RR vs Cold</t>
  </si>
  <si>
    <t>-5 RR vs Heat</t>
  </si>
  <si>
    <t>+20 maneuvers that could be affected by snow and cold</t>
  </si>
  <si>
    <t>+10 Sense: Hearing</t>
  </si>
  <si>
    <t>Ice Sculpture</t>
  </si>
  <si>
    <t>Ivory Carving</t>
  </si>
  <si>
    <t>Dying</t>
  </si>
  <si>
    <t>Leather Crafts</t>
  </si>
  <si>
    <t>History (Elvish)</t>
  </si>
  <si>
    <t>Flore Lore</t>
  </si>
  <si>
    <t>Spells</t>
  </si>
  <si>
    <t>Hide</t>
  </si>
  <si>
    <t>Stalk</t>
  </si>
  <si>
    <t>Weapon 1-H Edged</t>
  </si>
  <si>
    <t>Pole-arms</t>
  </si>
  <si>
    <t>Lossidilrin</t>
  </si>
  <si>
    <t>Ivory</t>
  </si>
  <si>
    <t>Light green</t>
  </si>
  <si>
    <t>Pale gold</t>
  </si>
  <si>
    <t>Reddish-brown</t>
  </si>
  <si>
    <t>Added Lossedel - Snow Elf as a race</t>
  </si>
  <si>
    <t>Military organisation</t>
  </si>
  <si>
    <t>Can travel 3 days without sleep</t>
  </si>
  <si>
    <t>Thrown Rock</t>
  </si>
  <si>
    <t>Racial Attacks (Huge Claw)</t>
  </si>
  <si>
    <t>Sense Awareness (Smell)</t>
  </si>
  <si>
    <t>Sense Awareness (Hearing)</t>
  </si>
  <si>
    <t>All Directed Spells</t>
  </si>
  <si>
    <t>All Power Awareness skills</t>
  </si>
  <si>
    <t>All Power Manipulations skills</t>
  </si>
  <si>
    <t>All Spell skills</t>
  </si>
  <si>
    <t>1-H concussion weapon wkills</t>
  </si>
  <si>
    <t>Thrown weapon skills</t>
  </si>
  <si>
    <t>Racial attacks (Huge Claw)</t>
  </si>
  <si>
    <t xml:space="preserve">Climbing </t>
  </si>
  <si>
    <t>Leather crafts</t>
  </si>
  <si>
    <t>Stone crafts</t>
  </si>
  <si>
    <t>Fauna lore</t>
  </si>
  <si>
    <t>Natural AT11</t>
  </si>
  <si>
    <t>+25 Tracking (smell)</t>
  </si>
  <si>
    <t>+10 any Awareness maneuver based on touch, smell or sound</t>
  </si>
  <si>
    <t>+40 to Spatial Location Awareness</t>
  </si>
  <si>
    <t>+15 to Awareness Senses CAT</t>
  </si>
  <si>
    <t>Immune to natural heat and cold</t>
  </si>
  <si>
    <t>Half damage from magical heat and cold</t>
  </si>
  <si>
    <t>Trollish (Westron)</t>
  </si>
  <si>
    <t>Racial Attacks (Large Claw)</t>
  </si>
  <si>
    <t>Racial Attacks (Large Bite)</t>
  </si>
  <si>
    <t>Can survive in diffused sunlight (-50)</t>
  </si>
  <si>
    <t>Greasy</t>
  </si>
  <si>
    <t>x</t>
  </si>
  <si>
    <t>Added various Trolls as races</t>
  </si>
  <si>
    <t>Item Name</t>
  </si>
  <si>
    <t>Item Cost</t>
  </si>
  <si>
    <t>Total levels of all spells necessary for the item</t>
  </si>
  <si>
    <t>Total time in weeks needed to create the item</t>
  </si>
  <si>
    <t>gp</t>
  </si>
  <si>
    <t>Selected Material and bonus</t>
  </si>
  <si>
    <t>+20</t>
  </si>
  <si>
    <t>Material</t>
  </si>
  <si>
    <t>Material cost</t>
  </si>
  <si>
    <t>Item Weight</t>
  </si>
  <si>
    <t xml:space="preserve">Item Weight </t>
  </si>
  <si>
    <t>oz</t>
  </si>
  <si>
    <t>Spells and Work cost</t>
  </si>
  <si>
    <t>Total item cost</t>
  </si>
  <si>
    <t>Value x</t>
  </si>
  <si>
    <t>Awareness Perception</t>
  </si>
  <si>
    <t>Added some adolescence skill ranks</t>
  </si>
  <si>
    <t>Olog-Hai</t>
  </si>
  <si>
    <t>Trollish (Labba)</t>
  </si>
  <si>
    <t>Lumps of thrown ice</t>
  </si>
  <si>
    <t>Scavenged weapons</t>
  </si>
  <si>
    <t>All skills within one of categories: 1-h concussion, 1-h edged, 2-h Weapons or Thrown</t>
  </si>
  <si>
    <t>Natural AT16</t>
  </si>
  <si>
    <t>Armour – Chain skills</t>
  </si>
  <si>
    <t>Any weapon skills</t>
  </si>
  <si>
    <t>Metal crafts</t>
  </si>
  <si>
    <t>interrogation</t>
  </si>
  <si>
    <t>Spiked Club</t>
  </si>
  <si>
    <t>Crossbow</t>
  </si>
  <si>
    <t>Morning star</t>
  </si>
  <si>
    <t>Short bow</t>
  </si>
  <si>
    <t>Short sword</t>
  </si>
  <si>
    <t>+15 DB and RR vs Heat and Cold attacks</t>
  </si>
  <si>
    <t>Signalling</t>
  </si>
  <si>
    <t>Trap building</t>
  </si>
  <si>
    <t>Weaving</t>
  </si>
  <si>
    <t>1.201</t>
  </si>
  <si>
    <t>Changed cost of Lightning Strike</t>
  </si>
  <si>
    <t>Fixed language linking to Stats sheet</t>
  </si>
  <si>
    <t>Fixedd hobby rank points linkage</t>
  </si>
  <si>
    <t>Changed Combat Reflexes cost  to 15</t>
  </si>
  <si>
    <t>Was 10 previuosly</t>
  </si>
  <si>
    <t>Was 12 previously</t>
  </si>
  <si>
    <t>Made of copper &amp; glass (wooden handle). Lights 40' diameter.</t>
  </si>
  <si>
    <t>Real Encumbrance Penalty</t>
  </si>
  <si>
    <t>Increased pre-defined equipment slots</t>
  </si>
  <si>
    <t>Changed some item weights to standard</t>
  </si>
  <si>
    <t>Vials and waterskins weight same for every race</t>
  </si>
  <si>
    <t>1.202</t>
  </si>
  <si>
    <t>Added "Shield Mastery" -skill to Combat Maneuvers</t>
  </si>
  <si>
    <t>Skills / Row 87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</si>
</sst>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
    <numFmt numFmtId="165" formatCode="0.000"/>
    <numFmt numFmtId="166" formatCode="dd\.mm\.yy"/>
    <numFmt numFmtId="167" formatCode="0.0000"/>
    <numFmt numFmtId="168" formatCode="#,##0_ ;[Red]\-#,##0\ "/>
  </numFmts>
  <fonts count="33" x14ac:knownFonts="1">
    <font>
      <sz val="10"/>
      <name val="Arial"/>
      <family val="2"/>
    </font>
    <font>
      <sz val="10"/>
      <color indexed="8"/>
      <name val="Arial"/>
      <family val="2"/>
      <charset val="1"/>
    </font>
    <font>
      <sz val="8"/>
      <color indexed="8"/>
      <name val="Arial"/>
      <family val="2"/>
      <charset val="1"/>
    </font>
    <font>
      <b/>
      <sz val="8"/>
      <color indexed="8"/>
      <name val="Arial"/>
      <family val="2"/>
      <charset val="1"/>
    </font>
    <font>
      <u/>
      <sz val="8"/>
      <color indexed="12"/>
      <name val="Arial"/>
      <family val="2"/>
      <charset val="1"/>
    </font>
    <font>
      <u/>
      <sz val="10"/>
      <color indexed="12"/>
      <name val="Arial"/>
      <family val="2"/>
      <charset val="1"/>
    </font>
    <font>
      <i/>
      <sz val="8"/>
      <color indexed="8"/>
      <name val="Arial"/>
      <family val="2"/>
      <charset val="1"/>
    </font>
    <font>
      <u/>
      <sz val="8"/>
      <color indexed="8"/>
      <name val="Arial"/>
      <family val="2"/>
      <charset val="1"/>
    </font>
    <font>
      <sz val="8"/>
      <color indexed="12"/>
      <name val="Arial"/>
      <family val="2"/>
      <charset val="1"/>
    </font>
    <font>
      <sz val="8"/>
      <color indexed="8"/>
      <name val="Times New Roman"/>
      <family val="1"/>
      <charset val="1"/>
    </font>
    <font>
      <i/>
      <sz val="8"/>
      <color indexed="8"/>
      <name val="Times New Roman"/>
      <family val="1"/>
      <charset val="1"/>
    </font>
    <font>
      <sz val="7"/>
      <color indexed="8"/>
      <name val="Arial"/>
      <family val="2"/>
      <charset val="1"/>
    </font>
    <font>
      <b/>
      <sz val="7"/>
      <color indexed="8"/>
      <name val="Arial"/>
      <family val="2"/>
      <charset val="1"/>
    </font>
    <font>
      <i/>
      <sz val="7"/>
      <color indexed="8"/>
      <name val="Arial"/>
      <family val="2"/>
      <charset val="1"/>
    </font>
    <font>
      <u/>
      <sz val="7"/>
      <color indexed="8"/>
      <name val="Arial"/>
      <family val="2"/>
      <charset val="1"/>
    </font>
    <font>
      <vertAlign val="superscript"/>
      <sz val="7"/>
      <color indexed="8"/>
      <name val="Arial"/>
      <family val="2"/>
      <charset val="1"/>
    </font>
    <font>
      <vertAlign val="superscript"/>
      <sz val="10"/>
      <color indexed="8"/>
      <name val="Arial"/>
      <family val="2"/>
      <charset val="1"/>
    </font>
    <font>
      <sz val="7"/>
      <color rgb="FF000000"/>
      <name val="Arial"/>
      <family val="2"/>
    </font>
    <font>
      <sz val="8"/>
      <name val="Arial"/>
      <family val="2"/>
    </font>
    <font>
      <b/>
      <sz val="8"/>
      <name val="Arial"/>
      <family val="2"/>
    </font>
    <font>
      <sz val="7"/>
      <color indexed="8"/>
      <name val="Arial"/>
      <family val="2"/>
    </font>
    <font>
      <b/>
      <sz val="7"/>
      <color indexed="8"/>
      <name val="Arial"/>
      <family val="2"/>
    </font>
    <font>
      <b/>
      <sz val="8"/>
      <color indexed="8"/>
      <name val="Arial"/>
      <family val="2"/>
    </font>
    <font>
      <sz val="8"/>
      <color indexed="8"/>
      <name val="Arial"/>
      <family val="2"/>
    </font>
    <font>
      <sz val="10"/>
      <name val="Arial"/>
      <family val="2"/>
    </font>
    <font>
      <b/>
      <sz val="7"/>
      <color rgb="FF000000"/>
      <name val="Arial"/>
      <family val="2"/>
    </font>
    <font>
      <u/>
      <sz val="8"/>
      <color indexed="12"/>
      <name val="Arial"/>
      <family val="2"/>
    </font>
    <font>
      <i/>
      <sz val="8"/>
      <color indexed="8"/>
      <name val="Arial"/>
      <family val="2"/>
    </font>
    <font>
      <b/>
      <i/>
      <sz val="8"/>
      <color indexed="8"/>
      <name val="Arial"/>
      <family val="2"/>
    </font>
    <font>
      <b/>
      <i/>
      <sz val="8"/>
      <name val="Arial"/>
      <family val="2"/>
    </font>
    <font>
      <sz val="7"/>
      <name val="Arial"/>
      <family val="2"/>
    </font>
    <font>
      <u/>
      <sz val="8"/>
      <color indexed="8"/>
      <name val="Arial"/>
      <family val="2"/>
    </font>
    <font>
      <sz val="10"/>
      <color indexed="8"/>
      <name val="Arial"/>
      <family val="2"/>
    </font>
  </fonts>
  <fills count="13">
    <fill>
      <patternFill patternType="none"/>
    </fill>
    <fill>
      <patternFill patternType="gray125"/>
    </fill>
    <fill>
      <patternFill patternType="solid">
        <fgColor indexed="42"/>
        <bgColor indexed="47"/>
      </patternFill>
    </fill>
    <fill>
      <patternFill patternType="solid">
        <fgColor indexed="47"/>
        <bgColor indexed="42"/>
      </patternFill>
    </fill>
    <fill>
      <patternFill patternType="solid">
        <fgColor indexed="41"/>
        <bgColor indexed="42"/>
      </patternFill>
    </fill>
    <fill>
      <patternFill patternType="solid">
        <fgColor indexed="9"/>
        <bgColor indexed="26"/>
      </patternFill>
    </fill>
    <fill>
      <patternFill patternType="solid">
        <fgColor indexed="26"/>
        <bgColor indexed="9"/>
      </patternFill>
    </fill>
    <fill>
      <patternFill patternType="solid">
        <fgColor indexed="10"/>
        <bgColor indexed="60"/>
      </patternFill>
    </fill>
    <fill>
      <patternFill patternType="solid">
        <fgColor indexed="27"/>
        <bgColor indexed="41"/>
      </patternFill>
    </fill>
    <fill>
      <patternFill patternType="solid">
        <fgColor indexed="31"/>
        <bgColor indexed="47"/>
      </patternFill>
    </fill>
    <fill>
      <patternFill patternType="solid">
        <fgColor theme="0" tint="-0.14999847407452621"/>
        <bgColor indexed="64"/>
      </patternFill>
    </fill>
    <fill>
      <patternFill patternType="solid">
        <fgColor theme="0" tint="-0.14999847407452621"/>
        <bgColor indexed="47"/>
      </patternFill>
    </fill>
    <fill>
      <patternFill patternType="solid">
        <fgColor theme="4" tint="0.79998168889431442"/>
        <bgColor theme="4" tint="0.79998168889431442"/>
      </patternFill>
    </fill>
  </fills>
  <borders count="74">
    <border>
      <left/>
      <right/>
      <top/>
      <bottom/>
      <diagonal/>
    </border>
    <border>
      <left style="thin">
        <color indexed="8"/>
      </left>
      <right/>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diagonal/>
    </border>
    <border>
      <left/>
      <right/>
      <top style="thin">
        <color indexed="8"/>
      </top>
      <bottom/>
      <diagonal/>
    </border>
    <border>
      <left/>
      <right style="thin">
        <color indexed="8"/>
      </right>
      <top style="thin">
        <color indexed="8"/>
      </top>
      <bottom/>
      <diagonal/>
    </border>
    <border>
      <left/>
      <right style="thin">
        <color indexed="8"/>
      </right>
      <top/>
      <bottom/>
      <diagonal/>
    </border>
    <border>
      <left/>
      <right/>
      <top/>
      <bottom style="thin">
        <color indexed="8"/>
      </bottom>
      <diagonal/>
    </border>
    <border>
      <left style="thin">
        <color indexed="8"/>
      </left>
      <right/>
      <top/>
      <bottom style="thin">
        <color indexed="8"/>
      </bottom>
      <diagonal/>
    </border>
    <border>
      <left/>
      <right style="thin">
        <color indexed="8"/>
      </right>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right/>
      <top style="thin">
        <color indexed="8"/>
      </top>
      <bottom style="thin">
        <color indexed="8"/>
      </bottom>
      <diagonal/>
    </border>
    <border>
      <left style="thin">
        <color indexed="8"/>
      </left>
      <right/>
      <top style="thin">
        <color indexed="8"/>
      </top>
      <bottom style="thin">
        <color indexed="8"/>
      </bottom>
      <diagonal/>
    </border>
    <border>
      <left style="thick">
        <color indexed="8"/>
      </left>
      <right/>
      <top style="thick">
        <color indexed="8"/>
      </top>
      <bottom style="thin">
        <color indexed="8"/>
      </bottom>
      <diagonal/>
    </border>
    <border>
      <left style="thin">
        <color indexed="8"/>
      </left>
      <right style="thin">
        <color indexed="8"/>
      </right>
      <top style="thick">
        <color indexed="8"/>
      </top>
      <bottom style="thin">
        <color indexed="8"/>
      </bottom>
      <diagonal/>
    </border>
    <border>
      <left style="thin">
        <color indexed="8"/>
      </left>
      <right/>
      <top style="thick">
        <color indexed="8"/>
      </top>
      <bottom style="thin">
        <color indexed="8"/>
      </bottom>
      <diagonal/>
    </border>
    <border>
      <left style="thin">
        <color indexed="8"/>
      </left>
      <right/>
      <top style="thick">
        <color indexed="8"/>
      </top>
      <bottom style="medium">
        <color indexed="8"/>
      </bottom>
      <diagonal/>
    </border>
    <border>
      <left style="thin">
        <color indexed="8"/>
      </left>
      <right style="thin">
        <color indexed="8"/>
      </right>
      <top style="thick">
        <color indexed="8"/>
      </top>
      <bottom style="medium">
        <color indexed="8"/>
      </bottom>
      <diagonal/>
    </border>
    <border>
      <left style="thin">
        <color indexed="8"/>
      </left>
      <right style="thick">
        <color indexed="8"/>
      </right>
      <top style="thick">
        <color indexed="8"/>
      </top>
      <bottom style="thin">
        <color indexed="8"/>
      </bottom>
      <diagonal/>
    </border>
    <border>
      <left style="thick">
        <color indexed="8"/>
      </left>
      <right/>
      <top style="thick">
        <color indexed="8"/>
      </top>
      <bottom style="thick">
        <color indexed="8"/>
      </bottom>
      <diagonal/>
    </border>
    <border>
      <left style="thin">
        <color indexed="8"/>
      </left>
      <right/>
      <top style="thick">
        <color indexed="8"/>
      </top>
      <bottom style="thick">
        <color indexed="8"/>
      </bottom>
      <diagonal/>
    </border>
    <border>
      <left style="thin">
        <color indexed="8"/>
      </left>
      <right style="thick">
        <color indexed="8"/>
      </right>
      <top style="thick">
        <color indexed="8"/>
      </top>
      <bottom style="thick">
        <color indexed="8"/>
      </bottom>
      <diagonal/>
    </border>
    <border>
      <left style="thick">
        <color indexed="8"/>
      </left>
      <right/>
      <top/>
      <bottom/>
      <diagonal/>
    </border>
    <border>
      <left style="thick">
        <color indexed="8"/>
      </left>
      <right style="thin">
        <color indexed="8"/>
      </right>
      <top style="medium">
        <color indexed="8"/>
      </top>
      <bottom style="thin">
        <color indexed="8"/>
      </bottom>
      <diagonal/>
    </border>
    <border>
      <left style="thin">
        <color indexed="8"/>
      </left>
      <right style="thin">
        <color indexed="8"/>
      </right>
      <top style="medium">
        <color indexed="8"/>
      </top>
      <bottom style="thin">
        <color indexed="8"/>
      </bottom>
      <diagonal/>
    </border>
    <border>
      <left style="thin">
        <color indexed="8"/>
      </left>
      <right/>
      <top style="medium">
        <color indexed="8"/>
      </top>
      <bottom style="thin">
        <color indexed="8"/>
      </bottom>
      <diagonal/>
    </border>
    <border>
      <left style="thin">
        <color indexed="8"/>
      </left>
      <right style="thick">
        <color indexed="8"/>
      </right>
      <top style="medium">
        <color indexed="8"/>
      </top>
      <bottom style="thin">
        <color indexed="8"/>
      </bottom>
      <diagonal/>
    </border>
    <border>
      <left style="thick">
        <color indexed="8"/>
      </left>
      <right/>
      <top style="thin">
        <color indexed="8"/>
      </top>
      <bottom/>
      <diagonal/>
    </border>
    <border>
      <left style="thick">
        <color indexed="8"/>
      </left>
      <right style="thin">
        <color indexed="8"/>
      </right>
      <top style="thin">
        <color indexed="8"/>
      </top>
      <bottom style="thin">
        <color indexed="8"/>
      </bottom>
      <diagonal/>
    </border>
    <border>
      <left style="thin">
        <color indexed="8"/>
      </left>
      <right style="thick">
        <color indexed="8"/>
      </right>
      <top style="thin">
        <color indexed="8"/>
      </top>
      <bottom style="thin">
        <color indexed="8"/>
      </bottom>
      <diagonal/>
    </border>
    <border>
      <left style="thin">
        <color indexed="8"/>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style="thin">
        <color indexed="8"/>
      </bottom>
      <diagonal/>
    </border>
    <border>
      <left style="thin">
        <color indexed="64"/>
      </left>
      <right style="thin">
        <color indexed="64"/>
      </right>
      <top/>
      <bottom/>
      <diagonal/>
    </border>
    <border>
      <left style="thin">
        <color indexed="64"/>
      </left>
      <right/>
      <top/>
      <bottom style="thin">
        <color indexed="8"/>
      </bottom>
      <diagonal/>
    </border>
    <border>
      <left/>
      <right style="thin">
        <color indexed="64"/>
      </right>
      <top/>
      <bottom style="thin">
        <color indexed="8"/>
      </bottom>
      <diagonal/>
    </border>
    <border>
      <left style="thin">
        <color indexed="64"/>
      </left>
      <right style="thin">
        <color indexed="8"/>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style="thin">
        <color indexed="64"/>
      </right>
      <top style="thin">
        <color indexed="64"/>
      </top>
      <bottom style="thin">
        <color indexed="64"/>
      </bottom>
      <diagonal/>
    </border>
    <border>
      <left/>
      <right/>
      <top style="thin">
        <color indexed="64"/>
      </top>
      <bottom style="thin">
        <color indexed="64"/>
      </bottom>
      <diagonal/>
    </border>
    <border>
      <left style="thin">
        <color indexed="8"/>
      </left>
      <right/>
      <top style="thin">
        <color indexed="8"/>
      </top>
      <bottom style="medium">
        <color indexed="64"/>
      </bottom>
      <diagonal/>
    </border>
    <border>
      <left/>
      <right/>
      <top style="thin">
        <color indexed="8"/>
      </top>
      <bottom style="medium">
        <color indexed="64"/>
      </bottom>
      <diagonal/>
    </border>
    <border>
      <left style="thin">
        <color indexed="64"/>
      </left>
      <right style="thin">
        <color indexed="64"/>
      </right>
      <top style="thin">
        <color indexed="64"/>
      </top>
      <bottom style="medium">
        <color indexed="64"/>
      </bottom>
      <diagonal/>
    </border>
    <border>
      <left/>
      <right style="thin">
        <color indexed="8"/>
      </right>
      <top style="thin">
        <color indexed="8"/>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top style="thin">
        <color indexed="64"/>
      </top>
      <bottom style="thin">
        <color indexed="64"/>
      </bottom>
      <diagonal/>
    </border>
    <border>
      <left/>
      <right/>
      <top style="thin">
        <color theme="4" tint="0.39997558519241921"/>
      </top>
      <bottom style="thin">
        <color theme="4" tint="0.39997558519241921"/>
      </bottom>
      <diagonal/>
    </border>
    <border>
      <left/>
      <right style="thin">
        <color indexed="8"/>
      </right>
      <top/>
      <bottom style="thin">
        <color indexed="64"/>
      </bottom>
      <diagonal/>
    </border>
  </borders>
  <cellStyleXfs count="6">
    <xf numFmtId="0" fontId="0" fillId="0" borderId="0"/>
    <xf numFmtId="0" fontId="1" fillId="0" borderId="0"/>
    <xf numFmtId="0" fontId="1" fillId="0" borderId="0"/>
    <xf numFmtId="0" fontId="1" fillId="0" borderId="0"/>
    <xf numFmtId="0" fontId="5" fillId="0" borderId="0"/>
    <xf numFmtId="9" fontId="24" fillId="0" borderId="0" applyFont="0" applyFill="0" applyBorder="0" applyAlignment="0" applyProtection="0"/>
  </cellStyleXfs>
  <cellXfs count="425">
    <xf numFmtId="0" fontId="0" fillId="0" borderId="0" xfId="0"/>
    <xf numFmtId="49" fontId="2" fillId="0" borderId="0" xfId="3" applyNumberFormat="1" applyFont="1"/>
    <xf numFmtId="0" fontId="2" fillId="0" borderId="0" xfId="3" applyFont="1"/>
    <xf numFmtId="0" fontId="3" fillId="0" borderId="0" xfId="3" applyFont="1"/>
    <xf numFmtId="0" fontId="2" fillId="0" borderId="0" xfId="1" applyFont="1"/>
    <xf numFmtId="0" fontId="4" fillId="0" borderId="0" xfId="4" applyFont="1"/>
    <xf numFmtId="49" fontId="2" fillId="2" borderId="0" xfId="3" applyNumberFormat="1" applyFont="1" applyFill="1"/>
    <xf numFmtId="0" fontId="2" fillId="2" borderId="0" xfId="3" applyFont="1" applyFill="1"/>
    <xf numFmtId="0" fontId="6" fillId="0" borderId="0" xfId="3" applyFont="1"/>
    <xf numFmtId="0" fontId="7" fillId="0" borderId="0" xfId="3" applyFont="1"/>
    <xf numFmtId="0" fontId="8" fillId="0" borderId="0" xfId="3" applyFont="1"/>
    <xf numFmtId="0" fontId="9" fillId="0" borderId="0" xfId="3" applyFont="1"/>
    <xf numFmtId="0" fontId="11" fillId="0" borderId="0" xfId="3" applyFont="1"/>
    <xf numFmtId="0" fontId="12" fillId="0" borderId="2" xfId="3" applyFont="1" applyBorder="1" applyAlignment="1">
      <alignment horizontal="center"/>
    </xf>
    <xf numFmtId="0" fontId="11" fillId="0" borderId="16" xfId="3" applyFont="1" applyBorder="1" applyAlignment="1">
      <alignment horizontal="center" wrapText="1"/>
    </xf>
    <xf numFmtId="0" fontId="11" fillId="0" borderId="17" xfId="3" applyFont="1" applyBorder="1" applyAlignment="1">
      <alignment horizontal="center" wrapText="1"/>
    </xf>
    <xf numFmtId="0" fontId="11" fillId="0" borderId="18" xfId="3" applyFont="1" applyBorder="1" applyAlignment="1">
      <alignment horizontal="center" wrapText="1"/>
    </xf>
    <xf numFmtId="0" fontId="11" fillId="0" borderId="19" xfId="3" applyFont="1" applyBorder="1" applyAlignment="1">
      <alignment horizontal="center" wrapText="1"/>
    </xf>
    <xf numFmtId="0" fontId="11" fillId="0" borderId="20" xfId="3" applyFont="1" applyBorder="1" applyAlignment="1">
      <alignment horizontal="center" wrapText="1"/>
    </xf>
    <xf numFmtId="0" fontId="11" fillId="0" borderId="21" xfId="3" applyFont="1" applyBorder="1" applyAlignment="1">
      <alignment horizontal="center" wrapText="1"/>
    </xf>
    <xf numFmtId="0" fontId="12" fillId="0" borderId="0" xfId="3" applyFont="1"/>
    <xf numFmtId="0" fontId="11" fillId="0" borderId="2" xfId="3" applyFont="1" applyBorder="1" applyAlignment="1">
      <alignment horizontal="center"/>
    </xf>
    <xf numFmtId="1" fontId="11" fillId="0" borderId="2" xfId="3" applyNumberFormat="1" applyFont="1" applyBorder="1" applyAlignment="1">
      <alignment horizontal="center"/>
    </xf>
    <xf numFmtId="0" fontId="11" fillId="0" borderId="0" xfId="3" applyFont="1" applyAlignment="1">
      <alignment horizontal="center"/>
    </xf>
    <xf numFmtId="0" fontId="11" fillId="0" borderId="22" xfId="3" applyFont="1" applyBorder="1" applyAlignment="1">
      <alignment horizontal="center"/>
    </xf>
    <xf numFmtId="0" fontId="11" fillId="0" borderId="23" xfId="3" applyFont="1" applyBorder="1" applyAlignment="1">
      <alignment horizontal="center"/>
    </xf>
    <xf numFmtId="0" fontId="11" fillId="0" borderId="24" xfId="3" applyFont="1" applyBorder="1" applyAlignment="1">
      <alignment horizontal="center"/>
    </xf>
    <xf numFmtId="0" fontId="12" fillId="0" borderId="25" xfId="3" applyFont="1" applyBorder="1"/>
    <xf numFmtId="49" fontId="11" fillId="0" borderId="0" xfId="3" applyNumberFormat="1" applyFont="1"/>
    <xf numFmtId="0" fontId="11" fillId="0" borderId="26" xfId="3" applyFont="1" applyBorder="1" applyAlignment="1">
      <alignment horizontal="center"/>
    </xf>
    <xf numFmtId="0" fontId="11" fillId="0" borderId="27" xfId="3" applyFont="1" applyBorder="1" applyAlignment="1">
      <alignment horizontal="center"/>
    </xf>
    <xf numFmtId="0" fontId="11" fillId="0" borderId="28" xfId="3" applyFont="1" applyBorder="1" applyAlignment="1">
      <alignment horizontal="center"/>
    </xf>
    <xf numFmtId="0" fontId="11" fillId="0" borderId="15" xfId="3" applyFont="1" applyBorder="1" applyAlignment="1">
      <alignment horizontal="center"/>
    </xf>
    <xf numFmtId="0" fontId="11" fillId="0" borderId="29" xfId="3" applyFont="1" applyBorder="1" applyAlignment="1">
      <alignment horizontal="center"/>
    </xf>
    <xf numFmtId="0" fontId="12" fillId="0" borderId="30" xfId="3" applyFont="1" applyBorder="1"/>
    <xf numFmtId="0" fontId="11" fillId="0" borderId="31" xfId="3" applyFont="1" applyBorder="1" applyAlignment="1">
      <alignment horizontal="center"/>
    </xf>
    <xf numFmtId="0" fontId="11" fillId="0" borderId="32" xfId="3" applyFont="1" applyBorder="1" applyAlignment="1">
      <alignment horizontal="center"/>
    </xf>
    <xf numFmtId="0" fontId="12" fillId="4" borderId="25" xfId="3" applyFont="1" applyFill="1" applyBorder="1"/>
    <xf numFmtId="49" fontId="11" fillId="4" borderId="0" xfId="3" applyNumberFormat="1" applyFont="1" applyFill="1"/>
    <xf numFmtId="0" fontId="11" fillId="4" borderId="0" xfId="3" applyFont="1" applyFill="1"/>
    <xf numFmtId="0" fontId="12" fillId="0" borderId="0" xfId="3" applyFont="1" applyAlignment="1">
      <alignment horizontal="center"/>
    </xf>
    <xf numFmtId="165" fontId="11" fillId="0" borderId="0" xfId="3" applyNumberFormat="1" applyFont="1"/>
    <xf numFmtId="2" fontId="11" fillId="0" borderId="0" xfId="3" applyNumberFormat="1" applyFont="1"/>
    <xf numFmtId="1" fontId="11" fillId="0" borderId="0" xfId="3" applyNumberFormat="1" applyFont="1"/>
    <xf numFmtId="0" fontId="11" fillId="0" borderId="0" xfId="3" applyFont="1" applyAlignment="1">
      <alignment horizontal="right"/>
    </xf>
    <xf numFmtId="49" fontId="11" fillId="0" borderId="0" xfId="3" applyNumberFormat="1" applyFont="1" applyAlignment="1">
      <alignment horizontal="right"/>
    </xf>
    <xf numFmtId="0" fontId="13" fillId="0" borderId="0" xfId="3" applyFont="1"/>
    <xf numFmtId="0" fontId="11" fillId="0" borderId="3" xfId="3" applyFont="1" applyBorder="1"/>
    <xf numFmtId="0" fontId="11" fillId="0" borderId="4" xfId="3" applyFont="1" applyBorder="1"/>
    <xf numFmtId="0" fontId="11" fillId="0" borderId="5" xfId="3" applyFont="1" applyBorder="1"/>
    <xf numFmtId="0" fontId="11" fillId="0" borderId="1" xfId="3" applyFont="1" applyBorder="1"/>
    <xf numFmtId="0" fontId="11" fillId="0" borderId="6" xfId="3" applyFont="1" applyBorder="1"/>
    <xf numFmtId="0" fontId="11" fillId="0" borderId="8" xfId="3" applyFont="1" applyBorder="1"/>
    <xf numFmtId="0" fontId="11" fillId="0" borderId="7" xfId="3" applyFont="1" applyBorder="1"/>
    <xf numFmtId="0" fontId="11" fillId="0" borderId="9" xfId="3" applyFont="1" applyBorder="1"/>
    <xf numFmtId="49" fontId="14" fillId="0" borderId="0" xfId="3" applyNumberFormat="1" applyFont="1" applyAlignment="1">
      <alignment horizontal="right"/>
    </xf>
    <xf numFmtId="0" fontId="14" fillId="0" borderId="0" xfId="3" applyFont="1"/>
    <xf numFmtId="0" fontId="11" fillId="0" borderId="0" xfId="3" applyFont="1" applyAlignment="1">
      <alignment horizontal="left"/>
    </xf>
    <xf numFmtId="0" fontId="11" fillId="0" borderId="0" xfId="1" applyFont="1"/>
    <xf numFmtId="49" fontId="12" fillId="0" borderId="0" xfId="3" applyNumberFormat="1" applyFont="1" applyAlignment="1">
      <alignment horizontal="right"/>
    </xf>
    <xf numFmtId="166" fontId="11" fillId="0" borderId="0" xfId="3" applyNumberFormat="1" applyFont="1"/>
    <xf numFmtId="1" fontId="11" fillId="0" borderId="0" xfId="3" applyNumberFormat="1" applyFont="1" applyAlignment="1">
      <alignment horizontal="center"/>
    </xf>
    <xf numFmtId="2" fontId="12" fillId="0" borderId="0" xfId="3" applyNumberFormat="1" applyFont="1"/>
    <xf numFmtId="167" fontId="11" fillId="0" borderId="0" xfId="3" applyNumberFormat="1" applyFont="1"/>
    <xf numFmtId="0" fontId="12" fillId="2" borderId="0" xfId="3" applyFont="1" applyFill="1"/>
    <xf numFmtId="0" fontId="3" fillId="9" borderId="0" xfId="1" applyFont="1" applyFill="1"/>
    <xf numFmtId="0" fontId="3" fillId="9" borderId="0" xfId="1" applyFont="1" applyFill="1" applyAlignment="1">
      <alignment horizontal="center"/>
    </xf>
    <xf numFmtId="0" fontId="17" fillId="0" borderId="0" xfId="1" applyFont="1"/>
    <xf numFmtId="0" fontId="17" fillId="0" borderId="0" xfId="1" quotePrefix="1" applyFont="1"/>
    <xf numFmtId="0" fontId="11" fillId="0" borderId="0" xfId="3" quotePrefix="1" applyFont="1"/>
    <xf numFmtId="0" fontId="10" fillId="0" borderId="0" xfId="3" applyFont="1"/>
    <xf numFmtId="0" fontId="11" fillId="0" borderId="14" xfId="3" applyFont="1" applyBorder="1" applyAlignment="1">
      <alignment horizontal="center"/>
    </xf>
    <xf numFmtId="0" fontId="11" fillId="0" borderId="11" xfId="3" applyFont="1" applyBorder="1" applyAlignment="1">
      <alignment horizontal="center"/>
    </xf>
    <xf numFmtId="0" fontId="11" fillId="0" borderId="34" xfId="3" applyFont="1" applyBorder="1" applyAlignment="1">
      <alignment horizontal="center"/>
    </xf>
    <xf numFmtId="0" fontId="18" fillId="0" borderId="0" xfId="0" applyFont="1"/>
    <xf numFmtId="0" fontId="19" fillId="0" borderId="0" xfId="0" applyFont="1"/>
    <xf numFmtId="0" fontId="19" fillId="10" borderId="0" xfId="0" applyFont="1" applyFill="1"/>
    <xf numFmtId="0" fontId="20" fillId="0" borderId="0" xfId="3" applyFont="1"/>
    <xf numFmtId="0" fontId="21" fillId="0" borderId="0" xfId="3" applyFont="1"/>
    <xf numFmtId="0" fontId="22" fillId="0" borderId="0" xfId="3" applyFont="1"/>
    <xf numFmtId="0" fontId="23" fillId="0" borderId="0" xfId="3" applyFont="1"/>
    <xf numFmtId="0" fontId="5" fillId="0" borderId="0" xfId="4"/>
    <xf numFmtId="0" fontId="18" fillId="0" borderId="0" xfId="0" quotePrefix="1" applyFont="1"/>
    <xf numFmtId="16" fontId="18" fillId="0" borderId="0" xfId="0" quotePrefix="1" applyNumberFormat="1" applyFont="1"/>
    <xf numFmtId="9" fontId="11" fillId="0" borderId="0" xfId="5" applyFont="1"/>
    <xf numFmtId="9" fontId="11" fillId="0" borderId="0" xfId="3" applyNumberFormat="1" applyFont="1"/>
    <xf numFmtId="0" fontId="17" fillId="0" borderId="0" xfId="1" applyFont="1" applyAlignment="1">
      <alignment horizontal="center"/>
    </xf>
    <xf numFmtId="0" fontId="25" fillId="0" borderId="0" xfId="1" applyFont="1"/>
    <xf numFmtId="0" fontId="25" fillId="0" borderId="0" xfId="1" applyFont="1" applyAlignment="1">
      <alignment horizontal="center"/>
    </xf>
    <xf numFmtId="0" fontId="17" fillId="0" borderId="0" xfId="1" applyFont="1" applyAlignment="1">
      <alignment horizontal="left"/>
    </xf>
    <xf numFmtId="0" fontId="12" fillId="0" borderId="0" xfId="3" applyFont="1" applyAlignment="1">
      <alignment horizontal="left"/>
    </xf>
    <xf numFmtId="1" fontId="17" fillId="0" borderId="0" xfId="1" applyNumberFormat="1" applyFont="1" applyAlignment="1">
      <alignment horizontal="center"/>
    </xf>
    <xf numFmtId="2" fontId="17" fillId="0" borderId="0" xfId="1" applyNumberFormat="1" applyFont="1"/>
    <xf numFmtId="2" fontId="25" fillId="0" borderId="0" xfId="1" applyNumberFormat="1" applyFont="1"/>
    <xf numFmtId="0" fontId="11" fillId="0" borderId="57" xfId="3" applyFont="1" applyBorder="1"/>
    <xf numFmtId="0" fontId="11" fillId="0" borderId="58" xfId="3" applyFont="1" applyBorder="1"/>
    <xf numFmtId="0" fontId="11" fillId="0" borderId="59" xfId="3" applyFont="1" applyBorder="1"/>
    <xf numFmtId="0" fontId="11" fillId="0" borderId="60" xfId="3" applyFont="1" applyBorder="1"/>
    <xf numFmtId="0" fontId="11" fillId="0" borderId="61" xfId="3" applyFont="1" applyBorder="1"/>
    <xf numFmtId="0" fontId="11" fillId="0" borderId="62" xfId="3" applyFont="1" applyBorder="1"/>
    <xf numFmtId="0" fontId="11" fillId="0" borderId="63" xfId="3" applyFont="1" applyBorder="1"/>
    <xf numFmtId="0" fontId="11" fillId="0" borderId="64" xfId="3" applyFont="1" applyBorder="1"/>
    <xf numFmtId="1" fontId="11" fillId="0" borderId="63" xfId="3" applyNumberFormat="1" applyFont="1" applyBorder="1"/>
    <xf numFmtId="0" fontId="22" fillId="2" borderId="2" xfId="3" applyFont="1" applyFill="1" applyBorder="1"/>
    <xf numFmtId="0" fontId="23" fillId="0" borderId="7" xfId="3" applyFont="1" applyBorder="1" applyAlignment="1">
      <alignment horizontal="center"/>
    </xf>
    <xf numFmtId="0" fontId="22" fillId="3" borderId="2" xfId="3" applyFont="1" applyFill="1" applyBorder="1"/>
    <xf numFmtId="0" fontId="22" fillId="3" borderId="2" xfId="3" applyFont="1" applyFill="1" applyBorder="1" applyAlignment="1">
      <alignment horizontal="center"/>
    </xf>
    <xf numFmtId="0" fontId="22" fillId="0" borderId="35" xfId="3" applyFont="1" applyBorder="1"/>
    <xf numFmtId="0" fontId="23" fillId="2" borderId="36" xfId="3" applyFont="1" applyFill="1" applyBorder="1" applyAlignment="1">
      <alignment horizontal="center"/>
    </xf>
    <xf numFmtId="0" fontId="23" fillId="0" borderId="37" xfId="3" applyFont="1" applyBorder="1"/>
    <xf numFmtId="0" fontId="23" fillId="0" borderId="2" xfId="3" applyFont="1" applyBorder="1" applyAlignment="1">
      <alignment horizontal="left"/>
    </xf>
    <xf numFmtId="0" fontId="23" fillId="0" borderId="2" xfId="3" applyFont="1" applyBorder="1" applyAlignment="1">
      <alignment horizontal="center"/>
    </xf>
    <xf numFmtId="0" fontId="23" fillId="0" borderId="0" xfId="3" applyFont="1" applyAlignment="1">
      <alignment horizontal="center"/>
    </xf>
    <xf numFmtId="0" fontId="22" fillId="0" borderId="38" xfId="3" applyFont="1" applyBorder="1"/>
    <xf numFmtId="0" fontId="23" fillId="2" borderId="0" xfId="3" applyFont="1" applyFill="1" applyAlignment="1">
      <alignment horizontal="center"/>
    </xf>
    <xf numFmtId="0" fontId="23" fillId="0" borderId="39" xfId="3" applyFont="1" applyBorder="1"/>
    <xf numFmtId="2" fontId="23" fillId="0" borderId="7" xfId="3" applyNumberFormat="1" applyFont="1" applyBorder="1" applyAlignment="1">
      <alignment horizontal="center"/>
    </xf>
    <xf numFmtId="0" fontId="23" fillId="0" borderId="7" xfId="3" applyFont="1" applyBorder="1"/>
    <xf numFmtId="0" fontId="22" fillId="2" borderId="2" xfId="3" applyFont="1" applyFill="1" applyBorder="1" applyAlignment="1">
      <alignment horizontal="left"/>
    </xf>
    <xf numFmtId="2" fontId="23" fillId="0" borderId="2" xfId="3" applyNumberFormat="1" applyFont="1" applyBorder="1" applyAlignment="1">
      <alignment horizontal="center"/>
    </xf>
    <xf numFmtId="0" fontId="23" fillId="2" borderId="39" xfId="3" applyFont="1" applyFill="1" applyBorder="1"/>
    <xf numFmtId="164" fontId="23" fillId="0" borderId="7" xfId="3" applyNumberFormat="1" applyFont="1" applyBorder="1" applyAlignment="1">
      <alignment horizontal="center"/>
    </xf>
    <xf numFmtId="0" fontId="23" fillId="0" borderId="2" xfId="1" applyFont="1" applyBorder="1" applyAlignment="1">
      <alignment horizontal="center"/>
    </xf>
    <xf numFmtId="0" fontId="22" fillId="0" borderId="40" xfId="3" applyFont="1" applyBorder="1"/>
    <xf numFmtId="0" fontId="23" fillId="0" borderId="41" xfId="3" applyFont="1" applyBorder="1" applyAlignment="1">
      <alignment horizontal="center"/>
    </xf>
    <xf numFmtId="0" fontId="23" fillId="2" borderId="42" xfId="3" applyFont="1" applyFill="1" applyBorder="1"/>
    <xf numFmtId="0" fontId="26" fillId="0" borderId="0" xfId="4" applyFont="1"/>
    <xf numFmtId="0" fontId="23" fillId="0" borderId="67" xfId="3" applyFont="1" applyBorder="1"/>
    <xf numFmtId="0" fontId="23" fillId="10" borderId="52" xfId="3" applyFont="1" applyFill="1" applyBorder="1"/>
    <xf numFmtId="0" fontId="23" fillId="0" borderId="52" xfId="3" applyFont="1" applyBorder="1"/>
    <xf numFmtId="0" fontId="23" fillId="0" borderId="68" xfId="3" applyFont="1" applyBorder="1"/>
    <xf numFmtId="0" fontId="23" fillId="10" borderId="68" xfId="3" applyFont="1" applyFill="1" applyBorder="1" applyAlignment="1">
      <alignment horizontal="center"/>
    </xf>
    <xf numFmtId="0" fontId="23" fillId="0" borderId="15" xfId="3" applyFont="1" applyBorder="1" applyAlignment="1">
      <alignment horizontal="left"/>
    </xf>
    <xf numFmtId="0" fontId="23" fillId="0" borderId="10" xfId="3" applyFont="1" applyBorder="1" applyAlignment="1">
      <alignment horizontal="left"/>
    </xf>
    <xf numFmtId="0" fontId="23" fillId="2" borderId="2" xfId="3" applyFont="1" applyFill="1" applyBorder="1" applyAlignment="1">
      <alignment horizontal="left"/>
    </xf>
    <xf numFmtId="0" fontId="23" fillId="0" borderId="0" xfId="3" applyFont="1" applyAlignment="1">
      <alignment horizontal="left"/>
    </xf>
    <xf numFmtId="1" fontId="23" fillId="0" borderId="7" xfId="3" applyNumberFormat="1" applyFont="1" applyBorder="1" applyAlignment="1">
      <alignment horizontal="center"/>
    </xf>
    <xf numFmtId="168" fontId="23" fillId="0" borderId="2" xfId="3" applyNumberFormat="1" applyFont="1" applyBorder="1" applyAlignment="1">
      <alignment horizontal="center"/>
    </xf>
    <xf numFmtId="0" fontId="22" fillId="2" borderId="10" xfId="3" applyFont="1" applyFill="1" applyBorder="1" applyAlignment="1">
      <alignment horizontal="left"/>
    </xf>
    <xf numFmtId="0" fontId="23" fillId="0" borderId="3" xfId="3" applyFont="1" applyBorder="1" applyAlignment="1">
      <alignment horizontal="right"/>
    </xf>
    <xf numFmtId="0" fontId="23" fillId="2" borderId="11" xfId="3" applyFont="1" applyFill="1" applyBorder="1" applyAlignment="1">
      <alignment horizontal="center"/>
    </xf>
    <xf numFmtId="0" fontId="23" fillId="0" borderId="5" xfId="3" applyFont="1" applyBorder="1"/>
    <xf numFmtId="0" fontId="23" fillId="0" borderId="62" xfId="3" applyFont="1" applyBorder="1"/>
    <xf numFmtId="0" fontId="23" fillId="10" borderId="63" xfId="3" applyFont="1" applyFill="1" applyBorder="1"/>
    <xf numFmtId="0" fontId="23" fillId="0" borderId="63" xfId="3" applyFont="1" applyBorder="1"/>
    <xf numFmtId="0" fontId="23" fillId="0" borderId="64" xfId="3" applyFont="1" applyBorder="1"/>
    <xf numFmtId="0" fontId="23" fillId="10" borderId="64" xfId="3" applyFont="1" applyFill="1" applyBorder="1" applyAlignment="1">
      <alignment horizontal="center"/>
    </xf>
    <xf numFmtId="0" fontId="23" fillId="0" borderId="11" xfId="3" applyFont="1" applyBorder="1" applyAlignment="1">
      <alignment horizontal="left"/>
    </xf>
    <xf numFmtId="0" fontId="23" fillId="0" borderId="11" xfId="3" applyFont="1" applyBorder="1" applyAlignment="1">
      <alignment horizontal="center"/>
    </xf>
    <xf numFmtId="0" fontId="23" fillId="0" borderId="1" xfId="3" applyFont="1" applyBorder="1" applyAlignment="1">
      <alignment horizontal="right"/>
    </xf>
    <xf numFmtId="0" fontId="23" fillId="2" borderId="12" xfId="3" applyFont="1" applyFill="1" applyBorder="1" applyAlignment="1">
      <alignment horizontal="center"/>
    </xf>
    <xf numFmtId="0" fontId="23" fillId="0" borderId="6" xfId="3" applyFont="1" applyBorder="1"/>
    <xf numFmtId="0" fontId="23" fillId="0" borderId="0" xfId="3" applyFont="1" applyAlignment="1">
      <alignment vertical="center" wrapText="1"/>
    </xf>
    <xf numFmtId="0" fontId="23" fillId="0" borderId="15" xfId="3" applyFont="1" applyBorder="1" applyAlignment="1">
      <alignment horizontal="center"/>
    </xf>
    <xf numFmtId="0" fontId="23" fillId="0" borderId="49" xfId="3" applyFont="1" applyBorder="1" applyAlignment="1">
      <alignment horizontal="left"/>
    </xf>
    <xf numFmtId="0" fontId="23" fillId="0" borderId="51" xfId="3" applyFont="1" applyBorder="1" applyAlignment="1">
      <alignment horizontal="center"/>
    </xf>
    <xf numFmtId="0" fontId="23" fillId="0" borderId="8" xfId="3" applyFont="1" applyBorder="1" applyAlignment="1">
      <alignment horizontal="right"/>
    </xf>
    <xf numFmtId="0" fontId="23" fillId="2" borderId="13" xfId="3" applyFont="1" applyFill="1" applyBorder="1" applyAlignment="1">
      <alignment horizontal="center"/>
    </xf>
    <xf numFmtId="0" fontId="23" fillId="0" borderId="9" xfId="3" applyFont="1" applyBorder="1"/>
    <xf numFmtId="0" fontId="22" fillId="2" borderId="5" xfId="3" applyFont="1" applyFill="1" applyBorder="1" applyAlignment="1">
      <alignment horizontal="left"/>
    </xf>
    <xf numFmtId="0" fontId="23" fillId="0" borderId="49" xfId="3" applyFont="1" applyBorder="1"/>
    <xf numFmtId="0" fontId="23" fillId="0" borderId="52" xfId="3" applyFont="1" applyBorder="1" applyAlignment="1">
      <alignment horizontal="center"/>
    </xf>
    <xf numFmtId="0" fontId="23" fillId="0" borderId="50" xfId="3" applyFont="1" applyBorder="1" applyAlignment="1">
      <alignment horizontal="center"/>
    </xf>
    <xf numFmtId="0" fontId="22" fillId="3" borderId="13" xfId="3" applyFont="1" applyFill="1" applyBorder="1"/>
    <xf numFmtId="0" fontId="22" fillId="3" borderId="13" xfId="3" applyFont="1" applyFill="1" applyBorder="1" applyAlignment="1">
      <alignment horizontal="center"/>
    </xf>
    <xf numFmtId="0" fontId="22" fillId="3" borderId="14" xfId="3" applyFont="1" applyFill="1" applyBorder="1" applyAlignment="1">
      <alignment horizontal="center"/>
    </xf>
    <xf numFmtId="0" fontId="22" fillId="2" borderId="15" xfId="3" applyFont="1" applyFill="1" applyBorder="1" applyAlignment="1">
      <alignment horizontal="center"/>
    </xf>
    <xf numFmtId="0" fontId="22" fillId="2" borderId="2" xfId="3" applyFont="1" applyFill="1" applyBorder="1" applyAlignment="1">
      <alignment horizontal="center"/>
    </xf>
    <xf numFmtId="0" fontId="22" fillId="2" borderId="10" xfId="3" applyFont="1" applyFill="1" applyBorder="1" applyAlignment="1">
      <alignment horizontal="center"/>
    </xf>
    <xf numFmtId="0" fontId="23" fillId="0" borderId="4" xfId="3" applyFont="1" applyBorder="1"/>
    <xf numFmtId="0" fontId="22" fillId="0" borderId="2" xfId="3" applyFont="1" applyBorder="1"/>
    <xf numFmtId="0" fontId="22" fillId="0" borderId="2" xfId="3" applyFont="1" applyBorder="1" applyAlignment="1">
      <alignment horizontal="center"/>
    </xf>
    <xf numFmtId="164" fontId="23" fillId="0" borderId="2" xfId="3" applyNumberFormat="1" applyFont="1" applyBorder="1" applyAlignment="1">
      <alignment horizontal="center"/>
    </xf>
    <xf numFmtId="0" fontId="23" fillId="0" borderId="14" xfId="3" applyFont="1" applyBorder="1" applyAlignment="1">
      <alignment horizontal="center"/>
    </xf>
    <xf numFmtId="0" fontId="23" fillId="4" borderId="1" xfId="3" applyFont="1" applyFill="1" applyBorder="1" applyAlignment="1">
      <alignment horizontal="center"/>
    </xf>
    <xf numFmtId="0" fontId="23" fillId="0" borderId="12" xfId="3" applyFont="1" applyBorder="1" applyAlignment="1">
      <alignment horizontal="center"/>
    </xf>
    <xf numFmtId="0" fontId="23" fillId="2" borderId="6" xfId="3" applyFont="1" applyFill="1" applyBorder="1" applyAlignment="1">
      <alignment horizontal="center"/>
    </xf>
    <xf numFmtId="2" fontId="20" fillId="0" borderId="0" xfId="3" applyNumberFormat="1" applyFont="1"/>
    <xf numFmtId="0" fontId="23" fillId="4" borderId="8" xfId="3" applyFont="1" applyFill="1" applyBorder="1" applyAlignment="1">
      <alignment horizontal="center"/>
    </xf>
    <xf numFmtId="0" fontId="23" fillId="0" borderId="13" xfId="3" applyFont="1" applyBorder="1" applyAlignment="1">
      <alignment horizontal="center"/>
    </xf>
    <xf numFmtId="0" fontId="23" fillId="2" borderId="9" xfId="3" applyFont="1" applyFill="1" applyBorder="1" applyAlignment="1">
      <alignment horizontal="center"/>
    </xf>
    <xf numFmtId="0" fontId="23" fillId="0" borderId="1" xfId="3" applyFont="1" applyBorder="1"/>
    <xf numFmtId="1" fontId="23" fillId="0" borderId="0" xfId="3" applyNumberFormat="1" applyFont="1" applyAlignment="1">
      <alignment horizontal="center"/>
    </xf>
    <xf numFmtId="0" fontId="22" fillId="3" borderId="15" xfId="3" applyFont="1" applyFill="1" applyBorder="1"/>
    <xf numFmtId="0" fontId="23" fillId="3" borderId="14" xfId="3" applyFont="1" applyFill="1" applyBorder="1"/>
    <xf numFmtId="0" fontId="23" fillId="3" borderId="2" xfId="3" applyFont="1" applyFill="1" applyBorder="1" applyAlignment="1">
      <alignment horizontal="center"/>
    </xf>
    <xf numFmtId="0" fontId="22" fillId="0" borderId="0" xfId="3" applyFont="1" applyAlignment="1">
      <alignment horizontal="center"/>
    </xf>
    <xf numFmtId="0" fontId="22" fillId="0" borderId="8" xfId="3" applyFont="1" applyBorder="1"/>
    <xf numFmtId="2" fontId="23" fillId="0" borderId="0" xfId="3" applyNumberFormat="1" applyFont="1"/>
    <xf numFmtId="0" fontId="22" fillId="2" borderId="0" xfId="3" applyFont="1" applyFill="1"/>
    <xf numFmtId="1" fontId="23" fillId="0" borderId="0" xfId="2" applyNumberFormat="1" applyFont="1"/>
    <xf numFmtId="49" fontId="23" fillId="0" borderId="0" xfId="3" applyNumberFormat="1" applyFont="1"/>
    <xf numFmtId="0" fontId="22" fillId="3" borderId="15" xfId="3" applyFont="1" applyFill="1" applyBorder="1" applyAlignment="1">
      <alignment horizontal="center"/>
    </xf>
    <xf numFmtId="3" fontId="23" fillId="5" borderId="8" xfId="3" applyNumberFormat="1" applyFont="1" applyFill="1" applyBorder="1" applyAlignment="1">
      <alignment horizontal="center"/>
    </xf>
    <xf numFmtId="0" fontId="22" fillId="5" borderId="7" xfId="3" applyFont="1" applyFill="1" applyBorder="1" applyAlignment="1">
      <alignment horizontal="center"/>
    </xf>
    <xf numFmtId="0" fontId="22" fillId="5" borderId="2" xfId="3" applyFont="1" applyFill="1" applyBorder="1" applyAlignment="1">
      <alignment horizontal="center"/>
    </xf>
    <xf numFmtId="3" fontId="23" fillId="0" borderId="8" xfId="3" applyNumberFormat="1" applyFont="1" applyBorder="1" applyAlignment="1">
      <alignment horizontal="center"/>
    </xf>
    <xf numFmtId="1" fontId="23" fillId="0" borderId="2" xfId="3" applyNumberFormat="1" applyFont="1" applyBorder="1" applyAlignment="1">
      <alignment horizontal="center"/>
    </xf>
    <xf numFmtId="1" fontId="23" fillId="0" borderId="0" xfId="3" applyNumberFormat="1" applyFont="1"/>
    <xf numFmtId="1" fontId="22" fillId="0" borderId="1" xfId="3" applyNumberFormat="1" applyFont="1" applyBorder="1" applyAlignment="1">
      <alignment horizontal="center"/>
    </xf>
    <xf numFmtId="0" fontId="23" fillId="0" borderId="14" xfId="3" applyFont="1" applyBorder="1" applyAlignment="1">
      <alignment horizontal="left"/>
    </xf>
    <xf numFmtId="0" fontId="23" fillId="0" borderId="14" xfId="3" applyFont="1" applyBorder="1"/>
    <xf numFmtId="0" fontId="22" fillId="3" borderId="3" xfId="3" applyFont="1" applyFill="1" applyBorder="1"/>
    <xf numFmtId="0" fontId="23" fillId="2" borderId="4" xfId="3" applyFont="1" applyFill="1" applyBorder="1"/>
    <xf numFmtId="0" fontId="23" fillId="2" borderId="10" xfId="3" applyFont="1" applyFill="1" applyBorder="1"/>
    <xf numFmtId="0" fontId="22" fillId="0" borderId="5" xfId="3" applyFont="1" applyBorder="1" applyAlignment="1">
      <alignment horizontal="center"/>
    </xf>
    <xf numFmtId="0" fontId="20" fillId="0" borderId="43" xfId="3" applyFont="1" applyBorder="1" applyAlignment="1">
      <alignment horizontal="center"/>
    </xf>
    <xf numFmtId="0" fontId="23" fillId="0" borderId="0" xfId="1" applyFont="1"/>
    <xf numFmtId="0" fontId="23" fillId="0" borderId="0" xfId="3" applyFont="1" applyAlignment="1">
      <alignment horizontal="center" vertical="center" wrapText="1"/>
    </xf>
    <xf numFmtId="0" fontId="22" fillId="3" borderId="8" xfId="3" applyFont="1" applyFill="1" applyBorder="1"/>
    <xf numFmtId="0" fontId="22" fillId="3" borderId="7" xfId="3" applyFont="1" applyFill="1" applyBorder="1"/>
    <xf numFmtId="0" fontId="22" fillId="3" borderId="0" xfId="3" applyFont="1" applyFill="1"/>
    <xf numFmtId="0" fontId="22" fillId="3" borderId="10" xfId="3" applyFont="1" applyFill="1" applyBorder="1"/>
    <xf numFmtId="0" fontId="22" fillId="3" borderId="9" xfId="3" applyFont="1" applyFill="1" applyBorder="1" applyAlignment="1">
      <alignment horizontal="center"/>
    </xf>
    <xf numFmtId="0" fontId="20" fillId="0" borderId="46" xfId="3" applyFont="1" applyBorder="1" applyAlignment="1">
      <alignment horizontal="center"/>
    </xf>
    <xf numFmtId="0" fontId="23" fillId="0" borderId="15" xfId="3" applyFont="1" applyBorder="1"/>
    <xf numFmtId="164" fontId="23" fillId="0" borderId="13" xfId="3" applyNumberFormat="1" applyFont="1" applyBorder="1" applyAlignment="1">
      <alignment horizontal="center"/>
    </xf>
    <xf numFmtId="0" fontId="23" fillId="0" borderId="8" xfId="3" applyFont="1" applyBorder="1"/>
    <xf numFmtId="0" fontId="23" fillId="0" borderId="7" xfId="3" applyFont="1" applyBorder="1" applyAlignment="1">
      <alignment horizontal="right"/>
    </xf>
    <xf numFmtId="49" fontId="23" fillId="0" borderId="8" xfId="3" applyNumberFormat="1" applyFont="1" applyBorder="1" applyAlignment="1">
      <alignment horizontal="center"/>
    </xf>
    <xf numFmtId="0" fontId="23" fillId="0" borderId="14" xfId="3" applyFont="1" applyBorder="1" applyAlignment="1">
      <alignment horizontal="right"/>
    </xf>
    <xf numFmtId="0" fontId="23" fillId="0" borderId="8" xfId="3" applyFont="1" applyBorder="1" applyAlignment="1">
      <alignment horizontal="center"/>
    </xf>
    <xf numFmtId="164" fontId="23" fillId="0" borderId="11" xfId="3" applyNumberFormat="1" applyFont="1" applyBorder="1" applyAlignment="1">
      <alignment horizontal="center"/>
    </xf>
    <xf numFmtId="0" fontId="20" fillId="0" borderId="44" xfId="3" applyFont="1" applyBorder="1" applyAlignment="1">
      <alignment horizontal="center"/>
    </xf>
    <xf numFmtId="1" fontId="23" fillId="0" borderId="8" xfId="3" applyNumberFormat="1" applyFont="1" applyBorder="1" applyAlignment="1">
      <alignment horizontal="center"/>
    </xf>
    <xf numFmtId="0" fontId="23" fillId="2" borderId="14" xfId="3" applyFont="1" applyFill="1" applyBorder="1" applyAlignment="1">
      <alignment horizontal="center"/>
    </xf>
    <xf numFmtId="0" fontId="23" fillId="2" borderId="10" xfId="3" applyFont="1" applyFill="1" applyBorder="1" applyAlignment="1">
      <alignment horizontal="center"/>
    </xf>
    <xf numFmtId="0" fontId="22" fillId="0" borderId="10" xfId="3" applyFont="1" applyBorder="1" applyAlignment="1">
      <alignment horizontal="center"/>
    </xf>
    <xf numFmtId="0" fontId="22" fillId="3" borderId="15" xfId="3" applyFont="1" applyFill="1" applyBorder="1" applyAlignment="1">
      <alignment horizontal="left"/>
    </xf>
    <xf numFmtId="0" fontId="23" fillId="0" borderId="10" xfId="3" applyFont="1" applyBorder="1"/>
    <xf numFmtId="0" fontId="22" fillId="0" borderId="15" xfId="3" applyFont="1" applyBorder="1"/>
    <xf numFmtId="1" fontId="22" fillId="0" borderId="2" xfId="3" applyNumberFormat="1" applyFont="1" applyBorder="1" applyAlignment="1">
      <alignment horizontal="center"/>
    </xf>
    <xf numFmtId="1" fontId="22" fillId="0" borderId="13" xfId="3" applyNumberFormat="1" applyFont="1" applyBorder="1" applyAlignment="1">
      <alignment horizontal="center"/>
    </xf>
    <xf numFmtId="0" fontId="22" fillId="0" borderId="1" xfId="3" applyFont="1" applyBorder="1"/>
    <xf numFmtId="0" fontId="27" fillId="0" borderId="14" xfId="3" applyFont="1" applyBorder="1"/>
    <xf numFmtId="0" fontId="22" fillId="2" borderId="3" xfId="3" applyFont="1" applyFill="1" applyBorder="1"/>
    <xf numFmtId="0" fontId="22" fillId="2" borderId="4" xfId="3" applyFont="1" applyFill="1" applyBorder="1"/>
    <xf numFmtId="0" fontId="22" fillId="2" borderId="5" xfId="3" applyFont="1" applyFill="1" applyBorder="1"/>
    <xf numFmtId="0" fontId="23" fillId="6" borderId="1" xfId="3" applyFont="1" applyFill="1" applyBorder="1"/>
    <xf numFmtId="0" fontId="23" fillId="3" borderId="4" xfId="3" applyFont="1" applyFill="1" applyBorder="1"/>
    <xf numFmtId="0" fontId="22" fillId="3" borderId="4" xfId="3" applyFont="1" applyFill="1" applyBorder="1" applyAlignment="1">
      <alignment horizontal="left"/>
    </xf>
    <xf numFmtId="0" fontId="23" fillId="3" borderId="5" xfId="3" applyFont="1" applyFill="1" applyBorder="1"/>
    <xf numFmtId="0" fontId="23" fillId="6" borderId="33" xfId="3" applyFont="1" applyFill="1" applyBorder="1"/>
    <xf numFmtId="0" fontId="23" fillId="0" borderId="0" xfId="1" applyFont="1" applyAlignment="1">
      <alignment horizontal="center"/>
    </xf>
    <xf numFmtId="0" fontId="22" fillId="2" borderId="15" xfId="3" applyFont="1" applyFill="1" applyBorder="1"/>
    <xf numFmtId="0" fontId="22" fillId="3" borderId="14" xfId="3" applyFont="1" applyFill="1" applyBorder="1"/>
    <xf numFmtId="0" fontId="23" fillId="0" borderId="2" xfId="3" applyFont="1" applyBorder="1"/>
    <xf numFmtId="0" fontId="28" fillId="2" borderId="14" xfId="3" applyFont="1" applyFill="1" applyBorder="1"/>
    <xf numFmtId="0" fontId="22" fillId="2" borderId="14" xfId="3" applyFont="1" applyFill="1" applyBorder="1"/>
    <xf numFmtId="0" fontId="22" fillId="2" borderId="14" xfId="3" applyFont="1" applyFill="1" applyBorder="1" applyAlignment="1">
      <alignment horizontal="center"/>
    </xf>
    <xf numFmtId="0" fontId="23" fillId="0" borderId="10" xfId="3" applyFont="1" applyBorder="1" applyAlignment="1">
      <alignment horizontal="center"/>
    </xf>
    <xf numFmtId="0" fontId="27" fillId="0" borderId="3" xfId="3" applyFont="1" applyBorder="1"/>
    <xf numFmtId="0" fontId="27" fillId="0" borderId="4" xfId="3" applyFont="1" applyBorder="1"/>
    <xf numFmtId="1" fontId="23" fillId="0" borderId="15" xfId="3" applyNumberFormat="1" applyFont="1" applyBorder="1" applyAlignment="1">
      <alignment horizontal="center"/>
    </xf>
    <xf numFmtId="0" fontId="22" fillId="2" borderId="15" xfId="3" applyFont="1" applyFill="1" applyBorder="1" applyAlignment="1">
      <alignment horizontal="left"/>
    </xf>
    <xf numFmtId="0" fontId="23" fillId="2" borderId="14" xfId="3" applyFont="1" applyFill="1" applyBorder="1"/>
    <xf numFmtId="0" fontId="27" fillId="0" borderId="7" xfId="3" applyFont="1" applyBorder="1"/>
    <xf numFmtId="0" fontId="23" fillId="0" borderId="13" xfId="3" applyFont="1" applyBorder="1"/>
    <xf numFmtId="0" fontId="23" fillId="0" borderId="9" xfId="3" applyFont="1" applyBorder="1" applyAlignment="1">
      <alignment horizontal="center"/>
    </xf>
    <xf numFmtId="0" fontId="22" fillId="2" borderId="14" xfId="3" applyFont="1" applyFill="1" applyBorder="1" applyAlignment="1">
      <alignment horizontal="left"/>
    </xf>
    <xf numFmtId="2" fontId="22" fillId="2" borderId="14" xfId="3" applyNumberFormat="1" applyFont="1" applyFill="1" applyBorder="1" applyAlignment="1">
      <alignment horizontal="center"/>
    </xf>
    <xf numFmtId="2" fontId="22" fillId="2" borderId="10" xfId="3" applyNumberFormat="1" applyFont="1" applyFill="1" applyBorder="1" applyAlignment="1">
      <alignment horizontal="center"/>
    </xf>
    <xf numFmtId="0" fontId="19" fillId="10" borderId="7" xfId="3" applyFont="1" applyFill="1" applyBorder="1"/>
    <xf numFmtId="0" fontId="29" fillId="10" borderId="7" xfId="3" applyFont="1" applyFill="1" applyBorder="1"/>
    <xf numFmtId="0" fontId="19" fillId="10" borderId="7" xfId="3" applyFont="1" applyFill="1" applyBorder="1" applyAlignment="1">
      <alignment horizontal="center"/>
    </xf>
    <xf numFmtId="0" fontId="19" fillId="10" borderId="0" xfId="3" applyFont="1" applyFill="1" applyAlignment="1">
      <alignment horizontal="center"/>
    </xf>
    <xf numFmtId="0" fontId="19" fillId="11" borderId="11" xfId="3" applyFont="1" applyFill="1" applyBorder="1" applyAlignment="1">
      <alignment horizontal="center"/>
    </xf>
    <xf numFmtId="0" fontId="22" fillId="11" borderId="10" xfId="3" applyFont="1" applyFill="1" applyBorder="1" applyAlignment="1">
      <alignment horizontal="center"/>
    </xf>
    <xf numFmtId="0" fontId="20" fillId="0" borderId="14" xfId="3" applyFont="1" applyBorder="1"/>
    <xf numFmtId="0" fontId="23" fillId="0" borderId="34" xfId="3" applyFont="1" applyBorder="1" applyAlignment="1">
      <alignment horizontal="center"/>
    </xf>
    <xf numFmtId="2" fontId="23" fillId="0" borderId="34" xfId="3" applyNumberFormat="1" applyFont="1" applyBorder="1" applyAlignment="1">
      <alignment horizontal="center"/>
    </xf>
    <xf numFmtId="0" fontId="23" fillId="0" borderId="54" xfId="3" applyFont="1" applyBorder="1"/>
    <xf numFmtId="0" fontId="23" fillId="0" borderId="55" xfId="3" applyFont="1" applyBorder="1" applyAlignment="1">
      <alignment horizontal="center"/>
    </xf>
    <xf numFmtId="2" fontId="23" fillId="0" borderId="55" xfId="3" applyNumberFormat="1" applyFont="1" applyBorder="1" applyAlignment="1">
      <alignment horizontal="center"/>
    </xf>
    <xf numFmtId="0" fontId="23" fillId="0" borderId="56" xfId="3" applyFont="1" applyBorder="1" applyAlignment="1">
      <alignment horizontal="center"/>
    </xf>
    <xf numFmtId="0" fontId="23" fillId="0" borderId="7" xfId="3" quotePrefix="1" applyFont="1" applyBorder="1"/>
    <xf numFmtId="0" fontId="23" fillId="0" borderId="44" xfId="3" applyFont="1" applyBorder="1" applyAlignment="1">
      <alignment horizontal="center"/>
    </xf>
    <xf numFmtId="2" fontId="23" fillId="0" borderId="44" xfId="3" applyNumberFormat="1" applyFont="1" applyBorder="1" applyAlignment="1">
      <alignment horizontal="center"/>
    </xf>
    <xf numFmtId="0" fontId="23" fillId="0" borderId="15" xfId="3" quotePrefix="1" applyFont="1" applyBorder="1"/>
    <xf numFmtId="2" fontId="23" fillId="0" borderId="10" xfId="3" applyNumberFormat="1" applyFont="1" applyBorder="1" applyAlignment="1">
      <alignment horizontal="center"/>
    </xf>
    <xf numFmtId="0" fontId="22" fillId="3" borderId="11" xfId="3" applyFont="1" applyFill="1" applyBorder="1"/>
    <xf numFmtId="0" fontId="22" fillId="3" borderId="11" xfId="3" applyFont="1" applyFill="1" applyBorder="1" applyAlignment="1">
      <alignment horizontal="center"/>
    </xf>
    <xf numFmtId="3" fontId="22" fillId="3" borderId="11" xfId="3" applyNumberFormat="1" applyFont="1" applyFill="1" applyBorder="1" applyAlignment="1">
      <alignment horizontal="center"/>
    </xf>
    <xf numFmtId="1" fontId="22" fillId="3" borderId="11" xfId="3" applyNumberFormat="1" applyFont="1" applyFill="1" applyBorder="1" applyAlignment="1">
      <alignment horizontal="center"/>
    </xf>
    <xf numFmtId="0" fontId="22" fillId="2" borderId="35" xfId="3" applyFont="1" applyFill="1" applyBorder="1"/>
    <xf numFmtId="0" fontId="22" fillId="2" borderId="36" xfId="3" applyFont="1" applyFill="1" applyBorder="1"/>
    <xf numFmtId="0" fontId="22" fillId="2" borderId="37" xfId="3" applyFont="1" applyFill="1" applyBorder="1"/>
    <xf numFmtId="0" fontId="22" fillId="2" borderId="43" xfId="3" applyFont="1" applyFill="1" applyBorder="1"/>
    <xf numFmtId="0" fontId="22" fillId="0" borderId="11" xfId="3" applyFont="1" applyBorder="1"/>
    <xf numFmtId="0" fontId="22" fillId="0" borderId="3" xfId="3" applyFont="1" applyBorder="1"/>
    <xf numFmtId="0" fontId="28" fillId="0" borderId="34" xfId="3" applyFont="1" applyBorder="1"/>
    <xf numFmtId="0" fontId="22" fillId="7" borderId="0" xfId="3" applyFont="1" applyFill="1" applyAlignment="1">
      <alignment horizontal="left"/>
    </xf>
    <xf numFmtId="3" fontId="22" fillId="3" borderId="2" xfId="3" applyNumberFormat="1" applyFont="1" applyFill="1" applyBorder="1" applyAlignment="1">
      <alignment horizontal="center"/>
    </xf>
    <xf numFmtId="1" fontId="22" fillId="3" borderId="2" xfId="3" applyNumberFormat="1" applyFont="1" applyFill="1" applyBorder="1" applyAlignment="1">
      <alignment horizontal="center"/>
    </xf>
    <xf numFmtId="0" fontId="22" fillId="2" borderId="47" xfId="1" applyFont="1" applyFill="1" applyBorder="1"/>
    <xf numFmtId="0" fontId="22" fillId="2" borderId="7" xfId="3" applyFont="1" applyFill="1" applyBorder="1"/>
    <xf numFmtId="1" fontId="22" fillId="2" borderId="7" xfId="3" applyNumberFormat="1" applyFont="1" applyFill="1" applyBorder="1"/>
    <xf numFmtId="1" fontId="22" fillId="8" borderId="48" xfId="3" applyNumberFormat="1" applyFont="1" applyFill="1" applyBorder="1" applyAlignment="1">
      <alignment horizontal="left"/>
    </xf>
    <xf numFmtId="0" fontId="22" fillId="2" borderId="45" xfId="1" applyFont="1" applyFill="1" applyBorder="1"/>
    <xf numFmtId="0" fontId="22" fillId="2" borderId="11" xfId="3" applyFont="1" applyFill="1" applyBorder="1"/>
    <xf numFmtId="0" fontId="22" fillId="2" borderId="34" xfId="3" applyFont="1" applyFill="1" applyBorder="1"/>
    <xf numFmtId="0" fontId="22" fillId="0" borderId="0" xfId="1" applyFont="1"/>
    <xf numFmtId="0" fontId="23" fillId="2" borderId="2" xfId="3" applyFont="1" applyFill="1" applyBorder="1" applyAlignment="1">
      <alignment horizontal="center"/>
    </xf>
    <xf numFmtId="1" fontId="23" fillId="2" borderId="2" xfId="3" applyNumberFormat="1" applyFont="1" applyFill="1" applyBorder="1" applyAlignment="1">
      <alignment horizontal="center"/>
    </xf>
    <xf numFmtId="0" fontId="23" fillId="0" borderId="38" xfId="3" applyFont="1" applyBorder="1"/>
    <xf numFmtId="0" fontId="23" fillId="0" borderId="46" xfId="3" applyFont="1" applyBorder="1" applyAlignment="1">
      <alignment horizontal="center"/>
    </xf>
    <xf numFmtId="0" fontId="22" fillId="0" borderId="34" xfId="3" applyFont="1" applyBorder="1" applyAlignment="1">
      <alignment horizontal="center"/>
    </xf>
    <xf numFmtId="0" fontId="22" fillId="0" borderId="0" xfId="3" applyFont="1" applyAlignment="1">
      <alignment horizontal="left"/>
    </xf>
    <xf numFmtId="0" fontId="23" fillId="0" borderId="12" xfId="3" applyFont="1" applyBorder="1"/>
    <xf numFmtId="0" fontId="23" fillId="0" borderId="11" xfId="3" applyFont="1" applyBorder="1"/>
    <xf numFmtId="0" fontId="22" fillId="0" borderId="12" xfId="3" applyFont="1" applyBorder="1"/>
    <xf numFmtId="0" fontId="27" fillId="2" borderId="34" xfId="3" applyFont="1" applyFill="1" applyBorder="1"/>
    <xf numFmtId="0" fontId="23" fillId="0" borderId="34" xfId="3" applyFont="1" applyBorder="1"/>
    <xf numFmtId="0" fontId="27" fillId="0" borderId="12" xfId="3" applyFont="1" applyBorder="1"/>
    <xf numFmtId="0" fontId="27" fillId="2" borderId="11" xfId="3" applyFont="1" applyFill="1" applyBorder="1"/>
    <xf numFmtId="0" fontId="27" fillId="0" borderId="1" xfId="3" applyFont="1" applyBorder="1"/>
    <xf numFmtId="0" fontId="23" fillId="0" borderId="38" xfId="3" applyFont="1" applyBorder="1" applyAlignment="1">
      <alignment horizontal="center"/>
    </xf>
    <xf numFmtId="0" fontId="31" fillId="2" borderId="35" xfId="3" applyFont="1" applyFill="1" applyBorder="1"/>
    <xf numFmtId="0" fontId="31" fillId="2" borderId="43" xfId="3" applyFont="1" applyFill="1" applyBorder="1"/>
    <xf numFmtId="0" fontId="23" fillId="0" borderId="40" xfId="3" applyFont="1" applyBorder="1"/>
    <xf numFmtId="0" fontId="23" fillId="0" borderId="44" xfId="3" applyFont="1" applyBorder="1"/>
    <xf numFmtId="0" fontId="31" fillId="0" borderId="1" xfId="3" applyFont="1" applyBorder="1"/>
    <xf numFmtId="0" fontId="31" fillId="0" borderId="46" xfId="3" applyFont="1" applyBorder="1"/>
    <xf numFmtId="0" fontId="31" fillId="0" borderId="33" xfId="3" applyFont="1" applyBorder="1"/>
    <xf numFmtId="0" fontId="31" fillId="0" borderId="44" xfId="3" applyFont="1" applyBorder="1"/>
    <xf numFmtId="0" fontId="23" fillId="0" borderId="0" xfId="3" applyFont="1" applyAlignment="1">
      <alignment horizontal="right"/>
    </xf>
    <xf numFmtId="1" fontId="23" fillId="0" borderId="11" xfId="3" applyNumberFormat="1" applyFont="1" applyBorder="1" applyAlignment="1">
      <alignment horizontal="center"/>
    </xf>
    <xf numFmtId="0" fontId="22" fillId="2" borderId="8" xfId="3" applyFont="1" applyFill="1" applyBorder="1"/>
    <xf numFmtId="0" fontId="23" fillId="2" borderId="9" xfId="1" applyFont="1" applyFill="1" applyBorder="1"/>
    <xf numFmtId="1" fontId="23" fillId="2" borderId="13" xfId="3" applyNumberFormat="1" applyFont="1" applyFill="1" applyBorder="1" applyAlignment="1">
      <alignment horizontal="center"/>
    </xf>
    <xf numFmtId="0" fontId="27" fillId="0" borderId="2" xfId="3" applyFont="1" applyBorder="1" applyAlignment="1">
      <alignment horizontal="center"/>
    </xf>
    <xf numFmtId="0" fontId="27" fillId="0" borderId="2" xfId="3" applyFont="1" applyBorder="1"/>
    <xf numFmtId="0" fontId="27" fillId="0" borderId="13" xfId="3" applyFont="1" applyBorder="1" applyAlignment="1">
      <alignment horizontal="center"/>
    </xf>
    <xf numFmtId="0" fontId="27" fillId="0" borderId="13" xfId="3" applyFont="1" applyBorder="1"/>
    <xf numFmtId="0" fontId="23" fillId="0" borderId="13" xfId="3" applyFont="1" applyBorder="1" applyAlignment="1">
      <alignment horizontal="left"/>
    </xf>
    <xf numFmtId="0" fontId="23" fillId="2" borderId="9" xfId="3" applyFont="1" applyFill="1" applyBorder="1"/>
    <xf numFmtId="0" fontId="22" fillId="0" borderId="13" xfId="3" applyFont="1" applyBorder="1" applyAlignment="1">
      <alignment horizontal="center"/>
    </xf>
    <xf numFmtId="0" fontId="22" fillId="0" borderId="11" xfId="3" applyFont="1" applyBorder="1" applyAlignment="1">
      <alignment horizontal="center"/>
    </xf>
    <xf numFmtId="0" fontId="27" fillId="0" borderId="11" xfId="3" applyFont="1" applyBorder="1" applyAlignment="1">
      <alignment horizontal="center"/>
    </xf>
    <xf numFmtId="0" fontId="27" fillId="0" borderId="11" xfId="3" applyFont="1" applyBorder="1"/>
    <xf numFmtId="0" fontId="23" fillId="0" borderId="2" xfId="3" quotePrefix="1" applyFont="1" applyBorder="1" applyAlignment="1">
      <alignment horizontal="center"/>
    </xf>
    <xf numFmtId="0" fontId="23" fillId="0" borderId="41" xfId="3" applyFont="1" applyBorder="1"/>
    <xf numFmtId="0" fontId="23" fillId="0" borderId="42" xfId="3" applyFont="1" applyBorder="1"/>
    <xf numFmtId="0" fontId="23" fillId="4" borderId="0" xfId="3" applyFont="1" applyFill="1"/>
    <xf numFmtId="0" fontId="32" fillId="0" borderId="0" xfId="3" applyFont="1"/>
    <xf numFmtId="0" fontId="23" fillId="0" borderId="71" xfId="3" applyFont="1" applyBorder="1"/>
    <xf numFmtId="0" fontId="23" fillId="0" borderId="50" xfId="3" applyFont="1" applyBorder="1" applyAlignment="1">
      <alignment horizontal="left"/>
    </xf>
    <xf numFmtId="0" fontId="22" fillId="0" borderId="0" xfId="1" applyFont="1" applyAlignment="1">
      <alignment horizontal="center"/>
    </xf>
    <xf numFmtId="0" fontId="23" fillId="0" borderId="34" xfId="1" applyFont="1" applyBorder="1"/>
    <xf numFmtId="0" fontId="23" fillId="0" borderId="34" xfId="1" applyFont="1" applyBorder="1" applyAlignment="1">
      <alignment horizontal="right"/>
    </xf>
    <xf numFmtId="0" fontId="22" fillId="0" borderId="34" xfId="3" applyFont="1" applyBorder="1" applyAlignment="1">
      <alignment horizontal="right"/>
    </xf>
    <xf numFmtId="0" fontId="22" fillId="0" borderId="46" xfId="3" applyFont="1" applyBorder="1"/>
    <xf numFmtId="0" fontId="22" fillId="2" borderId="35" xfId="1" applyFont="1" applyFill="1" applyBorder="1"/>
    <xf numFmtId="0" fontId="22" fillId="2" borderId="36" xfId="1" applyFont="1" applyFill="1" applyBorder="1"/>
    <xf numFmtId="0" fontId="22" fillId="2" borderId="37" xfId="1" applyFont="1" applyFill="1" applyBorder="1"/>
    <xf numFmtId="0" fontId="23" fillId="6" borderId="38" xfId="1" applyFont="1" applyFill="1" applyBorder="1"/>
    <xf numFmtId="0" fontId="23" fillId="0" borderId="39" xfId="1" applyFont="1" applyBorder="1" applyAlignment="1">
      <alignment horizontal="left"/>
    </xf>
    <xf numFmtId="0" fontId="23" fillId="6" borderId="40" xfId="1" applyFont="1" applyFill="1" applyBorder="1"/>
    <xf numFmtId="0" fontId="23" fillId="0" borderId="41" xfId="1" applyFont="1" applyBorder="1" applyAlignment="1">
      <alignment horizontal="center"/>
    </xf>
    <xf numFmtId="0" fontId="23" fillId="0" borderId="42" xfId="1" applyFont="1" applyBorder="1" applyAlignment="1">
      <alignment horizontal="left"/>
    </xf>
    <xf numFmtId="0" fontId="23" fillId="0" borderId="73" xfId="3" applyFont="1" applyBorder="1"/>
    <xf numFmtId="49" fontId="20" fillId="0" borderId="0" xfId="3" applyNumberFormat="1" applyFont="1"/>
    <xf numFmtId="0" fontId="20" fillId="0" borderId="0" xfId="3" applyFont="1" applyAlignment="1">
      <alignment horizontal="center"/>
    </xf>
    <xf numFmtId="0" fontId="20" fillId="0" borderId="0" xfId="3" applyFont="1" applyAlignment="1">
      <alignment wrapText="1"/>
    </xf>
    <xf numFmtId="0" fontId="20" fillId="0" borderId="0" xfId="3" applyFont="1" applyAlignment="1">
      <alignment horizontal="left"/>
    </xf>
    <xf numFmtId="0" fontId="20" fillId="0" borderId="0" xfId="1" applyFont="1"/>
    <xf numFmtId="0" fontId="30" fillId="0" borderId="0" xfId="0" applyFont="1"/>
    <xf numFmtId="0" fontId="20" fillId="0" borderId="0" xfId="3" applyFont="1" applyAlignment="1">
      <alignment horizontal="right"/>
    </xf>
    <xf numFmtId="0" fontId="17" fillId="12" borderId="72" xfId="1" applyFont="1" applyFill="1" applyBorder="1"/>
    <xf numFmtId="0" fontId="17" fillId="0" borderId="72" xfId="1" applyFont="1" applyBorder="1"/>
    <xf numFmtId="0" fontId="17" fillId="12" borderId="0" xfId="1" applyFont="1" applyFill="1"/>
    <xf numFmtId="0" fontId="0" fillId="0" borderId="72" xfId="0" applyBorder="1"/>
    <xf numFmtId="0" fontId="0" fillId="0" borderId="0" xfId="0" quotePrefix="1"/>
    <xf numFmtId="2" fontId="23" fillId="0" borderId="9" xfId="3" applyNumberFormat="1" applyFont="1" applyBorder="1" applyAlignment="1">
      <alignment horizontal="center"/>
    </xf>
    <xf numFmtId="0" fontId="20" fillId="0" borderId="54" xfId="3" applyFont="1" applyBorder="1"/>
    <xf numFmtId="0" fontId="23" fillId="0" borderId="54" xfId="3" applyFont="1" applyBorder="1" applyAlignment="1">
      <alignment horizontal="center"/>
    </xf>
    <xf numFmtId="0" fontId="23" fillId="0" borderId="53" xfId="3" applyFont="1" applyBorder="1"/>
    <xf numFmtId="0" fontId="23" fillId="0" borderId="54" xfId="3" applyFont="1" applyBorder="1"/>
    <xf numFmtId="0" fontId="23" fillId="0" borderId="15" xfId="3" applyFont="1" applyBorder="1"/>
    <xf numFmtId="0" fontId="23" fillId="0" borderId="14" xfId="3" applyFont="1" applyBorder="1"/>
    <xf numFmtId="0" fontId="23" fillId="0" borderId="69" xfId="3" applyFont="1" applyBorder="1" applyAlignment="1">
      <alignment horizontal="center" vertical="center" wrapText="1"/>
    </xf>
    <xf numFmtId="0" fontId="23" fillId="0" borderId="70" xfId="3" applyFont="1" applyBorder="1" applyAlignment="1">
      <alignment horizontal="center" vertical="center" wrapText="1"/>
    </xf>
    <xf numFmtId="0" fontId="22" fillId="0" borderId="2" xfId="3" applyFont="1" applyBorder="1" applyAlignment="1">
      <alignment horizontal="left"/>
    </xf>
    <xf numFmtId="0" fontId="23" fillId="0" borderId="2" xfId="3" applyFont="1" applyBorder="1" applyAlignment="1">
      <alignment horizontal="left"/>
    </xf>
    <xf numFmtId="0" fontId="23" fillId="0" borderId="3" xfId="3" applyFont="1" applyBorder="1" applyAlignment="1">
      <alignment horizontal="left" wrapText="1"/>
    </xf>
    <xf numFmtId="0" fontId="24" fillId="0" borderId="5" xfId="0" applyFont="1" applyBorder="1" applyAlignment="1">
      <alignment horizontal="left" wrapText="1"/>
    </xf>
    <xf numFmtId="0" fontId="22" fillId="0" borderId="1" xfId="3" applyFont="1" applyBorder="1" applyAlignment="1">
      <alignment horizontal="left"/>
    </xf>
    <xf numFmtId="0" fontId="24" fillId="0" borderId="0" xfId="0" applyFont="1"/>
    <xf numFmtId="0" fontId="24" fillId="0" borderId="39" xfId="0" applyFont="1" applyBorder="1"/>
    <xf numFmtId="0" fontId="23" fillId="0" borderId="35" xfId="3" applyFont="1" applyBorder="1" applyAlignment="1">
      <alignment horizontal="center" vertical="center" wrapText="1"/>
    </xf>
    <xf numFmtId="0" fontId="23" fillId="0" borderId="36" xfId="3" applyFont="1" applyBorder="1" applyAlignment="1">
      <alignment horizontal="center" vertical="center" wrapText="1"/>
    </xf>
    <xf numFmtId="0" fontId="23" fillId="0" borderId="37" xfId="3" applyFont="1" applyBorder="1" applyAlignment="1">
      <alignment horizontal="center" vertical="center" wrapText="1"/>
    </xf>
    <xf numFmtId="0" fontId="23" fillId="0" borderId="38" xfId="3" applyFont="1" applyBorder="1" applyAlignment="1">
      <alignment horizontal="center" vertical="center" wrapText="1"/>
    </xf>
    <xf numFmtId="0" fontId="23" fillId="0" borderId="0" xfId="3" applyFont="1" applyAlignment="1">
      <alignment horizontal="center" vertical="center" wrapText="1"/>
    </xf>
    <xf numFmtId="0" fontId="23" fillId="0" borderId="39" xfId="3" applyFont="1" applyBorder="1" applyAlignment="1">
      <alignment horizontal="center" vertical="center" wrapText="1"/>
    </xf>
    <xf numFmtId="0" fontId="23" fillId="0" borderId="40" xfId="3" applyFont="1" applyBorder="1" applyAlignment="1">
      <alignment horizontal="center" vertical="center" wrapText="1"/>
    </xf>
    <xf numFmtId="0" fontId="23" fillId="0" borderId="41" xfId="3" applyFont="1" applyBorder="1" applyAlignment="1">
      <alignment horizontal="center" vertical="center" wrapText="1"/>
    </xf>
    <xf numFmtId="0" fontId="23" fillId="0" borderId="42" xfId="3" applyFont="1" applyBorder="1" applyAlignment="1">
      <alignment horizontal="center" vertical="center" wrapText="1"/>
    </xf>
    <xf numFmtId="0" fontId="23" fillId="0" borderId="57" xfId="3" applyFont="1" applyBorder="1" applyAlignment="1">
      <alignment horizontal="center" vertical="center" wrapText="1"/>
    </xf>
    <xf numFmtId="0" fontId="23" fillId="0" borderId="58" xfId="3" applyFont="1" applyBorder="1" applyAlignment="1">
      <alignment horizontal="center" vertical="center" wrapText="1"/>
    </xf>
    <xf numFmtId="0" fontId="23" fillId="0" borderId="59" xfId="3" applyFont="1" applyBorder="1" applyAlignment="1">
      <alignment horizontal="center" vertical="center" wrapText="1"/>
    </xf>
    <xf numFmtId="0" fontId="23" fillId="0" borderId="60" xfId="3" applyFont="1" applyBorder="1" applyAlignment="1">
      <alignment horizontal="center" vertical="center" wrapText="1"/>
    </xf>
    <xf numFmtId="0" fontId="23" fillId="0" borderId="61" xfId="3" applyFont="1" applyBorder="1" applyAlignment="1">
      <alignment horizontal="center" vertical="center" wrapText="1"/>
    </xf>
    <xf numFmtId="0" fontId="23" fillId="0" borderId="65" xfId="3" applyFont="1" applyBorder="1" applyAlignment="1">
      <alignment horizontal="center" vertical="center" wrapText="1"/>
    </xf>
    <xf numFmtId="0" fontId="23" fillId="0" borderId="66" xfId="3" applyFont="1" applyBorder="1" applyAlignment="1">
      <alignment horizontal="center" vertical="center" wrapText="1"/>
    </xf>
    <xf numFmtId="0" fontId="23" fillId="0" borderId="35" xfId="3" applyFont="1" applyBorder="1" applyAlignment="1">
      <alignment vertical="center" wrapText="1"/>
    </xf>
    <xf numFmtId="0" fontId="23" fillId="0" borderId="36" xfId="3" applyFont="1" applyBorder="1" applyAlignment="1">
      <alignment vertical="center" wrapText="1"/>
    </xf>
    <xf numFmtId="0" fontId="23" fillId="0" borderId="37" xfId="3" applyFont="1" applyBorder="1" applyAlignment="1">
      <alignment vertical="center" wrapText="1"/>
    </xf>
    <xf numFmtId="0" fontId="23" fillId="0" borderId="38" xfId="3" applyFont="1" applyBorder="1" applyAlignment="1">
      <alignment vertical="center" wrapText="1"/>
    </xf>
    <xf numFmtId="0" fontId="23" fillId="0" borderId="0" xfId="3" applyFont="1" applyAlignment="1">
      <alignment vertical="center" wrapText="1"/>
    </xf>
    <xf numFmtId="0" fontId="23" fillId="0" borderId="39" xfId="3" applyFont="1" applyBorder="1" applyAlignment="1">
      <alignment vertical="center" wrapText="1"/>
    </xf>
    <xf numFmtId="0" fontId="23" fillId="0" borderId="40" xfId="3" applyFont="1" applyBorder="1" applyAlignment="1">
      <alignment vertical="center" wrapText="1"/>
    </xf>
    <xf numFmtId="0" fontId="23" fillId="0" borderId="41" xfId="3" applyFont="1" applyBorder="1" applyAlignment="1">
      <alignment vertical="center" wrapText="1"/>
    </xf>
    <xf numFmtId="0" fontId="23" fillId="0" borderId="42" xfId="3" applyFont="1" applyBorder="1" applyAlignment="1">
      <alignment vertical="center" wrapText="1"/>
    </xf>
    <xf numFmtId="0" fontId="23" fillId="0" borderId="35" xfId="3" applyFont="1" applyBorder="1" applyAlignment="1">
      <alignment vertical="center"/>
    </xf>
    <xf numFmtId="0" fontId="23" fillId="0" borderId="38" xfId="3" applyFont="1" applyBorder="1" applyAlignment="1">
      <alignment vertical="center"/>
    </xf>
    <xf numFmtId="0" fontId="23" fillId="0" borderId="40" xfId="3" applyFont="1" applyBorder="1" applyAlignment="1">
      <alignment vertical="center"/>
    </xf>
    <xf numFmtId="0" fontId="22" fillId="10" borderId="71" xfId="3" applyFont="1" applyFill="1" applyBorder="1" applyAlignment="1">
      <alignment horizontal="center"/>
    </xf>
    <xf numFmtId="0" fontId="22" fillId="10" borderId="52" xfId="3" applyFont="1" applyFill="1" applyBorder="1" applyAlignment="1">
      <alignment horizontal="center"/>
    </xf>
    <xf numFmtId="0" fontId="22" fillId="10" borderId="50" xfId="3" applyFont="1" applyFill="1" applyBorder="1" applyAlignment="1">
      <alignment horizontal="center"/>
    </xf>
    <xf numFmtId="0" fontId="22" fillId="0" borderId="40" xfId="3" applyFont="1" applyBorder="1" applyAlignment="1">
      <alignment horizontal="left"/>
    </xf>
    <xf numFmtId="0" fontId="22" fillId="0" borderId="41" xfId="3" applyFont="1" applyBorder="1" applyAlignment="1">
      <alignment horizontal="left"/>
    </xf>
    <xf numFmtId="0" fontId="22" fillId="0" borderId="42" xfId="3" applyFont="1" applyBorder="1" applyAlignment="1">
      <alignment horizontal="left"/>
    </xf>
    <xf numFmtId="0" fontId="22" fillId="3" borderId="13" xfId="3" applyFont="1" applyFill="1" applyBorder="1"/>
    <xf numFmtId="0" fontId="22" fillId="3" borderId="2" xfId="3" applyFont="1" applyFill="1" applyBorder="1"/>
  </cellXfs>
  <cellStyles count="6">
    <cellStyle name="Excel Built-in Normal" xfId="1" xr:uid="{00000000-0005-0000-0000-000000000000}"/>
    <cellStyle name="Excel Built-in Normal 1" xfId="2" xr:uid="{00000000-0005-0000-0000-000001000000}"/>
    <cellStyle name="Excel Built-in Normal 2" xfId="3" xr:uid="{00000000-0005-0000-0000-000002000000}"/>
    <cellStyle name="Hyperlinkki" xfId="4" builtinId="8"/>
    <cellStyle name="Normaali" xfId="0" builtinId="0"/>
    <cellStyle name="Prosenttia" xfId="5" builtinId="5"/>
  </cellStyles>
  <dxfs count="939">
    <dxf>
      <font>
        <strike val="0"/>
        <outline val="0"/>
        <shadow val="0"/>
        <u val="none"/>
        <vertAlign val="baseline"/>
        <sz val="8"/>
        <color auto="1"/>
        <name val="Arial"/>
        <family val="2"/>
        <scheme val="none"/>
      </font>
      <numFmt numFmtId="0" formatCode="General"/>
    </dxf>
    <dxf>
      <font>
        <strike val="0"/>
        <outline val="0"/>
        <shadow val="0"/>
        <u val="none"/>
        <vertAlign val="baseline"/>
        <sz val="8"/>
        <color auto="1"/>
        <name val="Arial"/>
        <family val="2"/>
        <scheme val="none"/>
      </font>
    </dxf>
    <dxf>
      <font>
        <strike val="0"/>
        <outline val="0"/>
        <shadow val="0"/>
        <u val="none"/>
        <vertAlign val="baseline"/>
        <sz val="8"/>
        <color auto="1"/>
        <name val="Arial"/>
        <family val="2"/>
        <scheme val="none"/>
      </font>
    </dxf>
    <dxf>
      <font>
        <strike val="0"/>
        <outline val="0"/>
        <shadow val="0"/>
        <u val="none"/>
        <vertAlign val="baseline"/>
        <sz val="8"/>
        <color auto="1"/>
        <name val="Arial"/>
        <family val="2"/>
        <scheme val="none"/>
      </font>
    </dxf>
    <dxf>
      <font>
        <strike val="0"/>
        <outline val="0"/>
        <shadow val="0"/>
        <u val="none"/>
        <vertAlign val="baseline"/>
        <sz val="8"/>
        <color auto="1"/>
        <name val="Arial"/>
        <family val="2"/>
        <scheme val="none"/>
      </font>
    </dxf>
    <dxf>
      <font>
        <strike val="0"/>
        <outline val="0"/>
        <shadow val="0"/>
        <u val="none"/>
        <vertAlign val="baseline"/>
        <sz val="8"/>
        <color auto="1"/>
        <name val="Arial"/>
        <family val="2"/>
        <scheme val="none"/>
      </font>
    </dxf>
    <dxf>
      <font>
        <strike val="0"/>
        <outline val="0"/>
        <shadow val="0"/>
        <u val="none"/>
        <vertAlign val="baseline"/>
        <sz val="8"/>
        <color auto="1"/>
        <name val="Arial"/>
        <family val="2"/>
        <scheme val="none"/>
      </font>
    </dxf>
    <dxf>
      <font>
        <b/>
        <i val="0"/>
        <strike val="0"/>
        <condense val="0"/>
        <extend val="0"/>
        <outline val="0"/>
        <shadow val="0"/>
        <u val="none"/>
        <vertAlign val="baseline"/>
        <sz val="8"/>
        <color auto="1"/>
        <name val="Arial"/>
        <family val="2"/>
        <scheme val="none"/>
      </font>
    </dxf>
    <dxf>
      <font>
        <b val="0"/>
        <i val="0"/>
        <strike val="0"/>
        <condense val="0"/>
        <extend val="0"/>
        <outline val="0"/>
        <shadow val="0"/>
        <u val="none"/>
        <vertAlign val="baseline"/>
        <sz val="7"/>
        <color indexed="8"/>
        <name val="Arial"/>
        <family val="2"/>
        <scheme val="none"/>
      </font>
    </dxf>
    <dxf>
      <font>
        <b val="0"/>
        <i val="0"/>
        <strike val="0"/>
        <condense val="0"/>
        <extend val="0"/>
        <outline val="0"/>
        <shadow val="0"/>
        <u val="none"/>
        <vertAlign val="baseline"/>
        <sz val="7"/>
        <color indexed="8"/>
        <name val="Arial"/>
        <family val="2"/>
        <scheme val="none"/>
      </font>
    </dxf>
    <dxf>
      <font>
        <b val="0"/>
        <i val="0"/>
        <strike val="0"/>
        <condense val="0"/>
        <extend val="0"/>
        <outline val="0"/>
        <shadow val="0"/>
        <u val="none"/>
        <vertAlign val="baseline"/>
        <sz val="7"/>
        <color indexed="8"/>
        <name val="Arial"/>
        <family val="2"/>
        <scheme val="none"/>
      </font>
    </dxf>
    <dxf>
      <font>
        <b val="0"/>
        <i val="0"/>
        <strike val="0"/>
        <condense val="0"/>
        <extend val="0"/>
        <outline val="0"/>
        <shadow val="0"/>
        <u val="none"/>
        <vertAlign val="baseline"/>
        <sz val="7"/>
        <color indexed="8"/>
        <name val="Arial"/>
        <family val="2"/>
        <scheme val="none"/>
      </font>
    </dxf>
    <dxf>
      <font>
        <b val="0"/>
        <i val="0"/>
        <strike val="0"/>
        <condense val="0"/>
        <extend val="0"/>
        <outline val="0"/>
        <shadow val="0"/>
        <u val="none"/>
        <vertAlign val="baseline"/>
        <sz val="7"/>
        <color indexed="8"/>
        <name val="Arial"/>
        <family val="2"/>
        <scheme val="none"/>
      </font>
    </dxf>
    <dxf>
      <font>
        <b val="0"/>
        <i val="0"/>
        <strike val="0"/>
        <condense val="0"/>
        <extend val="0"/>
        <outline val="0"/>
        <shadow val="0"/>
        <u val="none"/>
        <vertAlign val="baseline"/>
        <sz val="7"/>
        <color indexed="8"/>
        <name val="Arial"/>
        <family val="2"/>
        <scheme val="none"/>
      </font>
    </dxf>
    <dxf>
      <font>
        <b val="0"/>
        <i val="0"/>
        <strike val="0"/>
        <condense val="0"/>
        <extend val="0"/>
        <outline val="0"/>
        <shadow val="0"/>
        <u val="none"/>
        <vertAlign val="baseline"/>
        <sz val="7"/>
        <color indexed="8"/>
        <name val="Arial"/>
        <family val="2"/>
        <scheme val="none"/>
      </font>
    </dxf>
    <dxf>
      <font>
        <b val="0"/>
        <i val="0"/>
        <strike val="0"/>
        <condense val="0"/>
        <extend val="0"/>
        <outline val="0"/>
        <shadow val="0"/>
        <u val="none"/>
        <vertAlign val="baseline"/>
        <sz val="7"/>
        <color indexed="8"/>
        <name val="Arial"/>
        <family val="2"/>
        <scheme val="none"/>
      </font>
      <numFmt numFmtId="30" formatCode="@"/>
    </dxf>
    <dxf>
      <font>
        <b val="0"/>
        <i val="0"/>
        <strike val="0"/>
        <condense val="0"/>
        <extend val="0"/>
        <outline val="0"/>
        <shadow val="0"/>
        <u val="none"/>
        <vertAlign val="baseline"/>
        <sz val="7"/>
        <color indexed="8"/>
        <name val="Arial"/>
        <family val="2"/>
        <scheme val="none"/>
      </font>
    </dxf>
    <dxf>
      <font>
        <b val="0"/>
        <i val="0"/>
        <strike val="0"/>
        <condense val="0"/>
        <extend val="0"/>
        <outline val="0"/>
        <shadow val="0"/>
        <u val="none"/>
        <vertAlign val="baseline"/>
        <sz val="7"/>
        <color indexed="8"/>
        <name val="Arial"/>
        <family val="2"/>
        <scheme val="none"/>
      </font>
    </dxf>
    <dxf>
      <font>
        <b val="0"/>
        <i val="0"/>
        <strike val="0"/>
        <condense val="0"/>
        <extend val="0"/>
        <outline val="0"/>
        <shadow val="0"/>
        <u val="none"/>
        <vertAlign val="baseline"/>
        <sz val="7"/>
        <color indexed="8"/>
        <name val="Arial"/>
        <family val="2"/>
        <scheme val="none"/>
      </font>
    </dxf>
    <dxf>
      <font>
        <b val="0"/>
        <i val="0"/>
        <strike val="0"/>
        <condense val="0"/>
        <extend val="0"/>
        <outline val="0"/>
        <shadow val="0"/>
        <u val="none"/>
        <vertAlign val="baseline"/>
        <sz val="7"/>
        <color indexed="8"/>
        <name val="Arial"/>
        <family val="2"/>
        <scheme val="none"/>
      </font>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indexed="8"/>
        <name val="Arial"/>
        <family val="2"/>
        <charset val="1"/>
        <scheme val="none"/>
      </font>
    </dxf>
    <dxf>
      <font>
        <b val="0"/>
        <i val="0"/>
        <strike val="0"/>
        <condense val="0"/>
        <extend val="0"/>
        <outline val="0"/>
        <shadow val="0"/>
        <u val="none"/>
        <vertAlign val="baseline"/>
        <sz val="7"/>
        <color indexed="8"/>
        <name val="Arial"/>
        <family val="2"/>
        <charset val="1"/>
        <scheme val="none"/>
      </font>
    </dxf>
    <dxf>
      <font>
        <b val="0"/>
        <i val="0"/>
        <strike val="0"/>
        <condense val="0"/>
        <extend val="0"/>
        <outline val="0"/>
        <shadow val="0"/>
        <u val="none"/>
        <vertAlign val="baseline"/>
        <sz val="7"/>
        <color indexed="8"/>
        <name val="Arial"/>
        <family val="2"/>
        <charset val="1"/>
        <scheme val="none"/>
      </font>
    </dxf>
    <dxf>
      <font>
        <b val="0"/>
        <i val="0"/>
        <strike val="0"/>
        <condense val="0"/>
        <extend val="0"/>
        <outline val="0"/>
        <shadow val="0"/>
        <u val="none"/>
        <vertAlign val="baseline"/>
        <sz val="7"/>
        <color indexed="8"/>
        <name val="Arial"/>
        <family val="2"/>
        <charset val="1"/>
        <scheme val="none"/>
      </font>
    </dxf>
    <dxf>
      <font>
        <b val="0"/>
        <i val="0"/>
        <strike val="0"/>
        <condense val="0"/>
        <extend val="0"/>
        <outline val="0"/>
        <shadow val="0"/>
        <u val="none"/>
        <vertAlign val="baseline"/>
        <sz val="7"/>
        <color indexed="8"/>
        <name val="Arial"/>
        <family val="2"/>
        <charset val="1"/>
        <scheme val="none"/>
      </font>
    </dxf>
    <dxf>
      <font>
        <b val="0"/>
        <i val="0"/>
        <strike val="0"/>
        <condense val="0"/>
        <extend val="0"/>
        <outline val="0"/>
        <shadow val="0"/>
        <u val="none"/>
        <vertAlign val="baseline"/>
        <sz val="7"/>
        <color indexed="8"/>
        <name val="Arial"/>
        <family val="2"/>
        <charset val="1"/>
        <scheme val="none"/>
      </font>
    </dxf>
    <dxf>
      <font>
        <b val="0"/>
        <i val="0"/>
        <strike val="0"/>
        <condense val="0"/>
        <extend val="0"/>
        <outline val="0"/>
        <shadow val="0"/>
        <u val="none"/>
        <vertAlign val="baseline"/>
        <sz val="7"/>
        <color indexed="8"/>
        <name val="Arial"/>
        <family val="2"/>
        <charset val="1"/>
        <scheme val="none"/>
      </font>
    </dxf>
    <dxf>
      <font>
        <b val="0"/>
        <i val="0"/>
        <strike val="0"/>
        <condense val="0"/>
        <extend val="0"/>
        <outline val="0"/>
        <shadow val="0"/>
        <u val="none"/>
        <vertAlign val="baseline"/>
        <sz val="7"/>
        <color indexed="8"/>
        <name val="Arial"/>
        <family val="2"/>
        <charset val="1"/>
        <scheme val="none"/>
      </font>
    </dxf>
    <dxf>
      <font>
        <b val="0"/>
        <i val="0"/>
        <strike val="0"/>
        <condense val="0"/>
        <extend val="0"/>
        <outline val="0"/>
        <shadow val="0"/>
        <u val="none"/>
        <vertAlign val="baseline"/>
        <sz val="7"/>
        <color indexed="8"/>
        <name val="Arial"/>
        <family val="2"/>
        <charset val="1"/>
        <scheme val="none"/>
      </font>
    </dxf>
    <dxf>
      <font>
        <b val="0"/>
        <i val="0"/>
        <strike val="0"/>
        <condense val="0"/>
        <extend val="0"/>
        <outline val="0"/>
        <shadow val="0"/>
        <u val="none"/>
        <vertAlign val="baseline"/>
        <sz val="7"/>
        <color indexed="8"/>
        <name val="Arial"/>
        <family val="2"/>
        <charset val="1"/>
        <scheme val="none"/>
      </font>
    </dxf>
    <dxf>
      <font>
        <b val="0"/>
        <i val="0"/>
        <strike val="0"/>
        <condense val="0"/>
        <extend val="0"/>
        <outline val="0"/>
        <shadow val="0"/>
        <u val="none"/>
        <vertAlign val="baseline"/>
        <sz val="7"/>
        <color indexed="8"/>
        <name val="Arial"/>
        <family val="2"/>
        <charset val="1"/>
        <scheme val="none"/>
      </font>
    </dxf>
    <dxf>
      <font>
        <b val="0"/>
        <i val="0"/>
        <strike val="0"/>
        <condense val="0"/>
        <extend val="0"/>
        <outline val="0"/>
        <shadow val="0"/>
        <u val="none"/>
        <vertAlign val="baseline"/>
        <sz val="7"/>
        <color indexed="8"/>
        <name val="Arial"/>
        <family val="2"/>
        <charset val="1"/>
        <scheme val="none"/>
      </font>
    </dxf>
    <dxf>
      <font>
        <b val="0"/>
        <i val="0"/>
        <strike val="0"/>
        <condense val="0"/>
        <extend val="0"/>
        <outline val="0"/>
        <shadow val="0"/>
        <u val="none"/>
        <vertAlign val="baseline"/>
        <sz val="7"/>
        <color indexed="8"/>
        <name val="Arial"/>
        <family val="2"/>
        <charset val="1"/>
        <scheme val="none"/>
      </font>
    </dxf>
    <dxf>
      <font>
        <b val="0"/>
        <i val="0"/>
        <strike val="0"/>
        <condense val="0"/>
        <extend val="0"/>
        <outline val="0"/>
        <shadow val="0"/>
        <u val="none"/>
        <vertAlign val="baseline"/>
        <sz val="7"/>
        <color indexed="8"/>
        <name val="Arial"/>
        <family val="2"/>
        <charset val="1"/>
        <scheme val="none"/>
      </font>
    </dxf>
    <dxf>
      <font>
        <b val="0"/>
        <i val="0"/>
        <strike val="0"/>
        <condense val="0"/>
        <extend val="0"/>
        <outline val="0"/>
        <shadow val="0"/>
        <u val="none"/>
        <vertAlign val="baseline"/>
        <sz val="7"/>
        <color indexed="8"/>
        <name val="Arial"/>
        <family val="2"/>
        <charset val="1"/>
        <scheme val="none"/>
      </font>
    </dxf>
    <dxf>
      <font>
        <b val="0"/>
        <i val="0"/>
        <strike val="0"/>
        <condense val="0"/>
        <extend val="0"/>
        <outline val="0"/>
        <shadow val="0"/>
        <u val="none"/>
        <vertAlign val="baseline"/>
        <sz val="7"/>
        <color indexed="8"/>
        <name val="Arial"/>
        <family val="2"/>
        <charset val="1"/>
        <scheme val="none"/>
      </font>
    </dxf>
    <dxf>
      <font>
        <b val="0"/>
        <i val="0"/>
        <strike val="0"/>
        <condense val="0"/>
        <extend val="0"/>
        <outline val="0"/>
        <shadow val="0"/>
        <u val="none"/>
        <vertAlign val="baseline"/>
        <sz val="7"/>
        <color indexed="8"/>
        <name val="Arial"/>
        <family val="2"/>
        <charset val="1"/>
        <scheme val="none"/>
      </font>
    </dxf>
    <dxf>
      <font>
        <b val="0"/>
        <i val="0"/>
        <strike val="0"/>
        <condense val="0"/>
        <extend val="0"/>
        <outline val="0"/>
        <shadow val="0"/>
        <u val="none"/>
        <vertAlign val="baseline"/>
        <sz val="7"/>
        <color indexed="8"/>
        <name val="Arial"/>
        <family val="2"/>
        <charset val="1"/>
        <scheme val="none"/>
      </font>
    </dxf>
    <dxf>
      <font>
        <b val="0"/>
        <i val="0"/>
        <strike val="0"/>
        <condense val="0"/>
        <extend val="0"/>
        <outline val="0"/>
        <shadow val="0"/>
        <u val="none"/>
        <vertAlign val="baseline"/>
        <sz val="7"/>
        <color indexed="8"/>
        <name val="Arial"/>
        <family val="2"/>
        <charset val="1"/>
        <scheme val="none"/>
      </font>
    </dxf>
    <dxf>
      <font>
        <b val="0"/>
        <i val="0"/>
        <strike val="0"/>
        <condense val="0"/>
        <extend val="0"/>
        <outline val="0"/>
        <shadow val="0"/>
        <u val="none"/>
        <vertAlign val="baseline"/>
        <sz val="7"/>
        <color indexed="8"/>
        <name val="Arial"/>
        <family val="2"/>
        <charset val="1"/>
        <scheme val="none"/>
      </font>
    </dxf>
    <dxf>
      <font>
        <b val="0"/>
        <i val="0"/>
        <strike val="0"/>
        <condense val="0"/>
        <extend val="0"/>
        <outline val="0"/>
        <shadow val="0"/>
        <u val="none"/>
        <vertAlign val="baseline"/>
        <sz val="7"/>
        <color indexed="8"/>
        <name val="Arial"/>
        <family val="2"/>
        <charset val="1"/>
        <scheme val="none"/>
      </font>
    </dxf>
    <dxf>
      <font>
        <b val="0"/>
        <i val="0"/>
        <strike val="0"/>
        <condense val="0"/>
        <extend val="0"/>
        <outline val="0"/>
        <shadow val="0"/>
        <u val="none"/>
        <vertAlign val="baseline"/>
        <sz val="7"/>
        <color indexed="8"/>
        <name val="Arial"/>
        <family val="2"/>
        <charset val="1"/>
        <scheme val="none"/>
      </font>
    </dxf>
    <dxf>
      <font>
        <b val="0"/>
        <i val="0"/>
        <strike val="0"/>
        <condense val="0"/>
        <extend val="0"/>
        <outline val="0"/>
        <shadow val="0"/>
        <u val="none"/>
        <vertAlign val="baseline"/>
        <sz val="7"/>
        <color indexed="8"/>
        <name val="Arial"/>
        <family val="2"/>
        <charset val="1"/>
        <scheme val="none"/>
      </font>
    </dxf>
    <dxf>
      <font>
        <b val="0"/>
        <i val="0"/>
        <strike val="0"/>
        <condense val="0"/>
        <extend val="0"/>
        <outline val="0"/>
        <shadow val="0"/>
        <u val="none"/>
        <vertAlign val="baseline"/>
        <sz val="7"/>
        <color indexed="8"/>
        <name val="Arial"/>
        <family val="2"/>
        <charset val="1"/>
        <scheme val="none"/>
      </font>
    </dxf>
    <dxf>
      <font>
        <b val="0"/>
        <i val="0"/>
        <strike val="0"/>
        <condense val="0"/>
        <extend val="0"/>
        <outline val="0"/>
        <shadow val="0"/>
        <u val="none"/>
        <vertAlign val="baseline"/>
        <sz val="7"/>
        <color indexed="8"/>
        <name val="Arial"/>
        <family val="2"/>
        <charset val="1"/>
        <scheme val="none"/>
      </font>
    </dxf>
    <dxf>
      <font>
        <b val="0"/>
        <i val="0"/>
        <strike val="0"/>
        <condense val="0"/>
        <extend val="0"/>
        <outline val="0"/>
        <shadow val="0"/>
        <u val="none"/>
        <vertAlign val="baseline"/>
        <sz val="7"/>
        <color indexed="8"/>
        <name val="Arial"/>
        <family val="2"/>
        <charset val="1"/>
        <scheme val="none"/>
      </font>
    </dxf>
    <dxf>
      <font>
        <b val="0"/>
        <i val="0"/>
        <strike val="0"/>
        <condense val="0"/>
        <extend val="0"/>
        <outline val="0"/>
        <shadow val="0"/>
        <u val="none"/>
        <vertAlign val="baseline"/>
        <sz val="7"/>
        <color indexed="8"/>
        <name val="Arial"/>
        <family val="2"/>
        <charset val="1"/>
        <scheme val="none"/>
      </font>
    </dxf>
    <dxf>
      <font>
        <b val="0"/>
        <i val="0"/>
        <strike val="0"/>
        <condense val="0"/>
        <extend val="0"/>
        <outline val="0"/>
        <shadow val="0"/>
        <u val="none"/>
        <vertAlign val="baseline"/>
        <sz val="7"/>
        <color indexed="8"/>
        <name val="Arial"/>
        <family val="2"/>
        <charset val="1"/>
        <scheme val="none"/>
      </font>
    </dxf>
    <dxf>
      <font>
        <b val="0"/>
        <i val="0"/>
        <strike val="0"/>
        <condense val="0"/>
        <extend val="0"/>
        <outline val="0"/>
        <shadow val="0"/>
        <u val="none"/>
        <vertAlign val="baseline"/>
        <sz val="7"/>
        <color indexed="8"/>
        <name val="Arial"/>
        <family val="2"/>
        <charset val="1"/>
        <scheme val="none"/>
      </font>
    </dxf>
    <dxf>
      <font>
        <b val="0"/>
        <i val="0"/>
        <strike val="0"/>
        <condense val="0"/>
        <extend val="0"/>
        <outline val="0"/>
        <shadow val="0"/>
        <u val="none"/>
        <vertAlign val="baseline"/>
        <sz val="7"/>
        <color indexed="8"/>
        <name val="Arial"/>
        <family val="2"/>
        <charset val="1"/>
        <scheme val="none"/>
      </font>
    </dxf>
    <dxf>
      <font>
        <b val="0"/>
        <i val="0"/>
        <strike val="0"/>
        <condense val="0"/>
        <extend val="0"/>
        <outline val="0"/>
        <shadow val="0"/>
        <u val="none"/>
        <vertAlign val="baseline"/>
        <sz val="7"/>
        <color indexed="8"/>
        <name val="Arial"/>
        <family val="2"/>
        <charset val="1"/>
        <scheme val="none"/>
      </font>
    </dxf>
    <dxf>
      <font>
        <b val="0"/>
        <i val="0"/>
        <strike val="0"/>
        <condense val="0"/>
        <extend val="0"/>
        <outline val="0"/>
        <shadow val="0"/>
        <u val="none"/>
        <vertAlign val="baseline"/>
        <sz val="7"/>
        <color indexed="8"/>
        <name val="Arial"/>
        <family val="2"/>
        <charset val="1"/>
        <scheme val="none"/>
      </font>
    </dxf>
    <dxf>
      <font>
        <b val="0"/>
        <i val="0"/>
        <strike val="0"/>
        <condense val="0"/>
        <extend val="0"/>
        <outline val="0"/>
        <shadow val="0"/>
        <u val="none"/>
        <vertAlign val="baseline"/>
        <sz val="7"/>
        <color indexed="8"/>
        <name val="Arial"/>
        <family val="2"/>
        <charset val="1"/>
        <scheme val="none"/>
      </font>
    </dxf>
    <dxf>
      <font>
        <b val="0"/>
        <i val="0"/>
        <strike val="0"/>
        <condense val="0"/>
        <extend val="0"/>
        <outline val="0"/>
        <shadow val="0"/>
        <u val="none"/>
        <vertAlign val="baseline"/>
        <sz val="7"/>
        <color indexed="8"/>
        <name val="Arial"/>
        <family val="2"/>
        <charset val="1"/>
        <scheme val="none"/>
      </font>
    </dxf>
    <dxf>
      <font>
        <b val="0"/>
        <i val="0"/>
        <strike val="0"/>
        <condense val="0"/>
        <extend val="0"/>
        <outline val="0"/>
        <shadow val="0"/>
        <u val="none"/>
        <vertAlign val="baseline"/>
        <sz val="7"/>
        <color indexed="8"/>
        <name val="Arial"/>
        <family val="2"/>
        <charset val="1"/>
        <scheme val="none"/>
      </font>
    </dxf>
    <dxf>
      <font>
        <b val="0"/>
        <i val="0"/>
        <strike val="0"/>
        <condense val="0"/>
        <extend val="0"/>
        <outline val="0"/>
        <shadow val="0"/>
        <u val="none"/>
        <vertAlign val="baseline"/>
        <sz val="7"/>
        <color indexed="8"/>
        <name val="Arial"/>
        <family val="2"/>
        <charset val="1"/>
        <scheme val="none"/>
      </font>
    </dxf>
    <dxf>
      <font>
        <b val="0"/>
        <i val="0"/>
        <strike val="0"/>
        <condense val="0"/>
        <extend val="0"/>
        <outline val="0"/>
        <shadow val="0"/>
        <u val="none"/>
        <vertAlign val="baseline"/>
        <sz val="7"/>
        <color indexed="8"/>
        <name val="Arial"/>
        <family val="2"/>
        <charset val="1"/>
        <scheme val="none"/>
      </font>
    </dxf>
    <dxf>
      <font>
        <b val="0"/>
        <i val="0"/>
        <strike val="0"/>
        <condense val="0"/>
        <extend val="0"/>
        <outline val="0"/>
        <shadow val="0"/>
        <u val="none"/>
        <vertAlign val="baseline"/>
        <sz val="7"/>
        <color indexed="8"/>
        <name val="Arial"/>
        <family val="2"/>
        <charset val="1"/>
        <scheme val="none"/>
      </font>
    </dxf>
    <dxf>
      <font>
        <b val="0"/>
        <i val="0"/>
        <strike val="0"/>
        <condense val="0"/>
        <extend val="0"/>
        <outline val="0"/>
        <shadow val="0"/>
        <u val="none"/>
        <vertAlign val="baseline"/>
        <sz val="7"/>
        <color indexed="8"/>
        <name val="Arial"/>
        <family val="2"/>
        <charset val="1"/>
        <scheme val="none"/>
      </font>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indexed="8"/>
        <name val="Arial"/>
        <family val="2"/>
        <charset val="1"/>
        <scheme val="none"/>
      </font>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indexed="8"/>
        <name val="Arial"/>
        <family val="2"/>
        <charset val="1"/>
        <scheme val="none"/>
      </font>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indexed="8"/>
        <name val="Arial"/>
        <family val="2"/>
        <charset val="1"/>
        <scheme val="none"/>
      </font>
    </dxf>
    <dxf>
      <font>
        <b val="0"/>
        <i val="0"/>
        <strike val="0"/>
        <condense val="0"/>
        <extend val="0"/>
        <outline val="0"/>
        <shadow val="0"/>
        <u val="none"/>
        <vertAlign val="baseline"/>
        <sz val="7"/>
        <color indexed="8"/>
        <name val="Arial"/>
        <family val="2"/>
        <charset val="1"/>
        <scheme val="none"/>
      </font>
    </dxf>
    <dxf>
      <font>
        <b val="0"/>
        <i val="0"/>
        <strike val="0"/>
        <condense val="0"/>
        <extend val="0"/>
        <outline val="0"/>
        <shadow val="0"/>
        <u val="none"/>
        <vertAlign val="baseline"/>
        <sz val="7"/>
        <color indexed="8"/>
        <name val="Arial"/>
        <family val="2"/>
        <charset val="1"/>
        <scheme val="none"/>
      </font>
    </dxf>
    <dxf>
      <font>
        <b val="0"/>
        <i val="0"/>
        <strike val="0"/>
        <condense val="0"/>
        <extend val="0"/>
        <outline val="0"/>
        <shadow val="0"/>
        <u val="none"/>
        <vertAlign val="baseline"/>
        <sz val="7"/>
        <color indexed="8"/>
        <name val="Arial"/>
        <family val="2"/>
        <charset val="1"/>
        <scheme val="none"/>
      </font>
    </dxf>
    <dxf>
      <font>
        <b val="0"/>
        <i val="0"/>
        <strike val="0"/>
        <condense val="0"/>
        <extend val="0"/>
        <outline val="0"/>
        <shadow val="0"/>
        <u val="none"/>
        <vertAlign val="baseline"/>
        <sz val="7"/>
        <color indexed="8"/>
        <name val="Arial"/>
        <family val="2"/>
        <charset val="1"/>
        <scheme val="none"/>
      </font>
    </dxf>
    <dxf>
      <font>
        <b val="0"/>
        <i val="0"/>
        <strike val="0"/>
        <condense val="0"/>
        <extend val="0"/>
        <outline val="0"/>
        <shadow val="0"/>
        <u val="none"/>
        <vertAlign val="baseline"/>
        <sz val="7"/>
        <color indexed="8"/>
        <name val="Arial"/>
        <family val="2"/>
        <charset val="1"/>
        <scheme val="none"/>
      </font>
    </dxf>
    <dxf>
      <font>
        <b val="0"/>
        <i val="0"/>
        <strike val="0"/>
        <condense val="0"/>
        <extend val="0"/>
        <outline val="0"/>
        <shadow val="0"/>
        <u val="none"/>
        <vertAlign val="baseline"/>
        <sz val="7"/>
        <color indexed="8"/>
        <name val="Arial"/>
        <family val="2"/>
        <charset val="1"/>
        <scheme val="none"/>
      </font>
    </dxf>
    <dxf>
      <font>
        <b val="0"/>
        <i val="0"/>
        <strike val="0"/>
        <condense val="0"/>
        <extend val="0"/>
        <outline val="0"/>
        <shadow val="0"/>
        <u val="none"/>
        <vertAlign val="baseline"/>
        <sz val="7"/>
        <color indexed="8"/>
        <name val="Arial"/>
        <family val="2"/>
        <charset val="1"/>
        <scheme val="none"/>
      </font>
    </dxf>
    <dxf>
      <font>
        <b val="0"/>
        <i val="0"/>
        <strike val="0"/>
        <condense val="0"/>
        <extend val="0"/>
        <outline val="0"/>
        <shadow val="0"/>
        <u val="none"/>
        <vertAlign val="baseline"/>
        <sz val="7"/>
        <color indexed="8"/>
        <name val="Arial"/>
        <family val="2"/>
        <charset val="1"/>
        <scheme val="none"/>
      </font>
    </dxf>
    <dxf>
      <font>
        <b val="0"/>
        <i val="0"/>
        <strike val="0"/>
        <condense val="0"/>
        <extend val="0"/>
        <outline val="0"/>
        <shadow val="0"/>
        <u val="none"/>
        <vertAlign val="baseline"/>
        <sz val="7"/>
        <color indexed="8"/>
        <name val="Arial"/>
        <family val="2"/>
        <charset val="1"/>
        <scheme val="none"/>
      </font>
    </dxf>
    <dxf>
      <font>
        <b val="0"/>
        <i val="0"/>
        <strike val="0"/>
        <condense val="0"/>
        <extend val="0"/>
        <outline val="0"/>
        <shadow val="0"/>
        <u val="none"/>
        <vertAlign val="baseline"/>
        <sz val="7"/>
        <color indexed="8"/>
        <name val="Arial"/>
        <family val="2"/>
        <charset val="1"/>
        <scheme val="none"/>
      </font>
    </dxf>
    <dxf>
      <font>
        <b val="0"/>
        <i val="0"/>
        <strike val="0"/>
        <condense val="0"/>
        <extend val="0"/>
        <outline val="0"/>
        <shadow val="0"/>
        <u val="none"/>
        <vertAlign val="baseline"/>
        <sz val="7"/>
        <color indexed="8"/>
        <name val="Arial"/>
        <family val="2"/>
        <charset val="1"/>
        <scheme val="none"/>
      </font>
    </dxf>
    <dxf>
      <font>
        <b val="0"/>
        <i val="0"/>
        <strike val="0"/>
        <condense val="0"/>
        <extend val="0"/>
        <outline val="0"/>
        <shadow val="0"/>
        <u val="none"/>
        <vertAlign val="baseline"/>
        <sz val="7"/>
        <color indexed="8"/>
        <name val="Arial"/>
        <family val="2"/>
        <charset val="1"/>
        <scheme val="none"/>
      </font>
    </dxf>
    <dxf>
      <font>
        <b val="0"/>
        <i val="0"/>
        <strike val="0"/>
        <condense val="0"/>
        <extend val="0"/>
        <outline val="0"/>
        <shadow val="0"/>
        <u val="none"/>
        <vertAlign val="baseline"/>
        <sz val="7"/>
        <color indexed="8"/>
        <name val="Arial"/>
        <family val="2"/>
        <charset val="1"/>
        <scheme val="none"/>
      </font>
    </dxf>
    <dxf>
      <font>
        <b val="0"/>
        <i val="0"/>
        <strike val="0"/>
        <condense val="0"/>
        <extend val="0"/>
        <outline val="0"/>
        <shadow val="0"/>
        <u val="none"/>
        <vertAlign val="baseline"/>
        <sz val="7"/>
        <color indexed="8"/>
        <name val="Arial"/>
        <family val="2"/>
        <charset val="1"/>
        <scheme val="none"/>
      </font>
    </dxf>
    <dxf>
      <font>
        <b val="0"/>
        <i val="0"/>
        <strike val="0"/>
        <condense val="0"/>
        <extend val="0"/>
        <outline val="0"/>
        <shadow val="0"/>
        <u val="none"/>
        <vertAlign val="baseline"/>
        <sz val="7"/>
        <color indexed="8"/>
        <name val="Arial"/>
        <family val="2"/>
        <charset val="1"/>
        <scheme val="none"/>
      </font>
    </dxf>
    <dxf>
      <font>
        <b val="0"/>
        <i val="0"/>
        <strike val="0"/>
        <condense val="0"/>
        <extend val="0"/>
        <outline val="0"/>
        <shadow val="0"/>
        <u val="none"/>
        <vertAlign val="baseline"/>
        <sz val="7"/>
        <color indexed="8"/>
        <name val="Arial"/>
        <family val="2"/>
        <charset val="1"/>
        <scheme val="none"/>
      </font>
    </dxf>
    <dxf>
      <font>
        <b val="0"/>
        <i val="0"/>
        <strike val="0"/>
        <condense val="0"/>
        <extend val="0"/>
        <outline val="0"/>
        <shadow val="0"/>
        <u val="none"/>
        <vertAlign val="baseline"/>
        <sz val="7"/>
        <color indexed="8"/>
        <name val="Arial"/>
        <family val="2"/>
        <charset val="1"/>
        <scheme val="none"/>
      </font>
    </dxf>
    <dxf>
      <font>
        <b val="0"/>
        <i val="0"/>
        <strike val="0"/>
        <condense val="0"/>
        <extend val="0"/>
        <outline val="0"/>
        <shadow val="0"/>
        <u val="none"/>
        <vertAlign val="baseline"/>
        <sz val="7"/>
        <color indexed="8"/>
        <name val="Arial"/>
        <family val="2"/>
        <charset val="1"/>
        <scheme val="none"/>
      </font>
    </dxf>
    <dxf>
      <font>
        <b val="0"/>
        <i val="0"/>
        <strike val="0"/>
        <condense val="0"/>
        <extend val="0"/>
        <outline val="0"/>
        <shadow val="0"/>
        <u val="none"/>
        <vertAlign val="baseline"/>
        <sz val="7"/>
        <color indexed="8"/>
        <name val="Arial"/>
        <family val="2"/>
        <charset val="1"/>
        <scheme val="none"/>
      </font>
    </dxf>
    <dxf>
      <font>
        <b val="0"/>
        <i val="0"/>
        <strike val="0"/>
        <condense val="0"/>
        <extend val="0"/>
        <outline val="0"/>
        <shadow val="0"/>
        <u val="none"/>
        <vertAlign val="baseline"/>
        <sz val="7"/>
        <color indexed="8"/>
        <name val="Arial"/>
        <family val="2"/>
        <charset val="1"/>
        <scheme val="none"/>
      </font>
    </dxf>
    <dxf>
      <font>
        <b val="0"/>
        <i val="0"/>
        <strike val="0"/>
        <condense val="0"/>
        <extend val="0"/>
        <outline val="0"/>
        <shadow val="0"/>
        <u val="none"/>
        <vertAlign val="baseline"/>
        <sz val="7"/>
        <color indexed="8"/>
        <name val="Arial"/>
        <family val="2"/>
        <charset val="1"/>
        <scheme val="none"/>
      </font>
    </dxf>
    <dxf>
      <font>
        <b val="0"/>
        <i val="0"/>
        <strike val="0"/>
        <condense val="0"/>
        <extend val="0"/>
        <outline val="0"/>
        <shadow val="0"/>
        <u val="none"/>
        <vertAlign val="baseline"/>
        <sz val="7"/>
        <color indexed="8"/>
        <name val="Arial"/>
        <family val="2"/>
        <charset val="1"/>
        <scheme val="none"/>
      </font>
    </dxf>
    <dxf>
      <font>
        <b val="0"/>
        <i val="0"/>
        <strike val="0"/>
        <condense val="0"/>
        <extend val="0"/>
        <outline val="0"/>
        <shadow val="0"/>
        <u val="none"/>
        <vertAlign val="baseline"/>
        <sz val="7"/>
        <color indexed="8"/>
        <name val="Arial"/>
        <family val="2"/>
        <charset val="1"/>
        <scheme val="none"/>
      </font>
    </dxf>
    <dxf>
      <font>
        <b val="0"/>
        <i val="0"/>
        <strike val="0"/>
        <condense val="0"/>
        <extend val="0"/>
        <outline val="0"/>
        <shadow val="0"/>
        <u val="none"/>
        <vertAlign val="baseline"/>
        <sz val="7"/>
        <color indexed="8"/>
        <name val="Arial"/>
        <family val="2"/>
        <charset val="1"/>
        <scheme val="none"/>
      </font>
    </dxf>
    <dxf>
      <font>
        <b val="0"/>
        <i val="0"/>
        <strike val="0"/>
        <condense val="0"/>
        <extend val="0"/>
        <outline val="0"/>
        <shadow val="0"/>
        <u val="none"/>
        <vertAlign val="baseline"/>
        <sz val="7"/>
        <color indexed="8"/>
        <name val="Arial"/>
        <family val="2"/>
        <charset val="1"/>
        <scheme val="none"/>
      </font>
    </dxf>
    <dxf>
      <font>
        <b val="0"/>
        <i val="0"/>
        <strike val="0"/>
        <condense val="0"/>
        <extend val="0"/>
        <outline val="0"/>
        <shadow val="0"/>
        <u val="none"/>
        <vertAlign val="baseline"/>
        <sz val="7"/>
        <color indexed="8"/>
        <name val="Arial"/>
        <family val="2"/>
        <charset val="1"/>
        <scheme val="none"/>
      </font>
    </dxf>
    <dxf>
      <font>
        <b val="0"/>
        <i val="0"/>
        <strike val="0"/>
        <condense val="0"/>
        <extend val="0"/>
        <outline val="0"/>
        <shadow val="0"/>
        <u val="none"/>
        <vertAlign val="baseline"/>
        <sz val="7"/>
        <color indexed="8"/>
        <name val="Arial"/>
        <family val="2"/>
        <charset val="1"/>
        <scheme val="none"/>
      </font>
    </dxf>
    <dxf>
      <font>
        <b val="0"/>
        <i val="0"/>
        <strike val="0"/>
        <condense val="0"/>
        <extend val="0"/>
        <outline val="0"/>
        <shadow val="0"/>
        <u val="none"/>
        <vertAlign val="baseline"/>
        <sz val="7"/>
        <color indexed="8"/>
        <name val="Arial"/>
        <family val="2"/>
        <charset val="1"/>
        <scheme val="none"/>
      </font>
    </dxf>
    <dxf>
      <font>
        <b val="0"/>
        <i val="0"/>
        <strike val="0"/>
        <condense val="0"/>
        <extend val="0"/>
        <outline val="0"/>
        <shadow val="0"/>
        <u val="none"/>
        <vertAlign val="baseline"/>
        <sz val="7"/>
        <color indexed="8"/>
        <name val="Arial"/>
        <family val="2"/>
        <charset val="1"/>
        <scheme val="none"/>
      </font>
    </dxf>
    <dxf>
      <font>
        <b val="0"/>
        <i val="0"/>
        <strike val="0"/>
        <condense val="0"/>
        <extend val="0"/>
        <outline val="0"/>
        <shadow val="0"/>
        <u val="none"/>
        <vertAlign val="baseline"/>
        <sz val="7"/>
        <color indexed="8"/>
        <name val="Arial"/>
        <family val="2"/>
        <charset val="1"/>
        <scheme val="none"/>
      </font>
    </dxf>
    <dxf>
      <font>
        <b val="0"/>
        <i val="0"/>
        <strike val="0"/>
        <condense val="0"/>
        <extend val="0"/>
        <outline val="0"/>
        <shadow val="0"/>
        <u val="none"/>
        <vertAlign val="baseline"/>
        <sz val="7"/>
        <color indexed="8"/>
        <name val="Arial"/>
        <family val="2"/>
        <charset val="1"/>
        <scheme val="none"/>
      </font>
    </dxf>
    <dxf>
      <font>
        <b val="0"/>
        <i val="0"/>
        <strike val="0"/>
        <condense val="0"/>
        <extend val="0"/>
        <outline val="0"/>
        <shadow val="0"/>
        <u val="none"/>
        <vertAlign val="baseline"/>
        <sz val="7"/>
        <color indexed="8"/>
        <name val="Arial"/>
        <family val="2"/>
        <charset val="1"/>
        <scheme val="none"/>
      </font>
    </dxf>
    <dxf>
      <font>
        <b val="0"/>
        <i val="0"/>
        <strike val="0"/>
        <condense val="0"/>
        <extend val="0"/>
        <outline val="0"/>
        <shadow val="0"/>
        <u val="none"/>
        <vertAlign val="baseline"/>
        <sz val="7"/>
        <color indexed="8"/>
        <name val="Arial"/>
        <family val="2"/>
        <charset val="1"/>
        <scheme val="none"/>
      </font>
    </dxf>
    <dxf>
      <font>
        <b val="0"/>
        <i val="0"/>
        <strike val="0"/>
        <condense val="0"/>
        <extend val="0"/>
        <outline val="0"/>
        <shadow val="0"/>
        <u val="none"/>
        <vertAlign val="baseline"/>
        <sz val="7"/>
        <color indexed="8"/>
        <name val="Arial"/>
        <family val="2"/>
        <charset val="1"/>
        <scheme val="none"/>
      </font>
    </dxf>
    <dxf>
      <font>
        <b val="0"/>
        <i val="0"/>
        <strike val="0"/>
        <condense val="0"/>
        <extend val="0"/>
        <outline val="0"/>
        <shadow val="0"/>
        <u val="none"/>
        <vertAlign val="baseline"/>
        <sz val="7"/>
        <color indexed="8"/>
        <name val="Arial"/>
        <family val="2"/>
        <charset val="1"/>
        <scheme val="none"/>
      </font>
    </dxf>
    <dxf>
      <font>
        <b val="0"/>
        <i val="0"/>
        <strike val="0"/>
        <condense val="0"/>
        <extend val="0"/>
        <outline val="0"/>
        <shadow val="0"/>
        <u val="none"/>
        <vertAlign val="baseline"/>
        <sz val="7"/>
        <color indexed="8"/>
        <name val="Arial"/>
        <family val="2"/>
        <charset val="1"/>
        <scheme val="none"/>
      </font>
    </dxf>
    <dxf>
      <font>
        <b val="0"/>
        <i val="0"/>
        <strike val="0"/>
        <condense val="0"/>
        <extend val="0"/>
        <outline val="0"/>
        <shadow val="0"/>
        <u val="none"/>
        <vertAlign val="baseline"/>
        <sz val="7"/>
        <color indexed="8"/>
        <name val="Arial"/>
        <family val="2"/>
        <charset val="1"/>
        <scheme val="none"/>
      </font>
    </dxf>
    <dxf>
      <font>
        <b val="0"/>
        <i val="0"/>
        <strike val="0"/>
        <condense val="0"/>
        <extend val="0"/>
        <outline val="0"/>
        <shadow val="0"/>
        <u val="none"/>
        <vertAlign val="baseline"/>
        <sz val="7"/>
        <color indexed="8"/>
        <name val="Arial"/>
        <family val="2"/>
        <charset val="1"/>
        <scheme val="none"/>
      </font>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indexed="8"/>
        <name val="Arial"/>
        <family val="2"/>
        <charset val="1"/>
        <scheme val="none"/>
      </font>
    </dxf>
    <dxf>
      <font>
        <b val="0"/>
        <i val="0"/>
        <strike val="0"/>
        <condense val="0"/>
        <extend val="0"/>
        <outline val="0"/>
        <shadow val="0"/>
        <u val="none"/>
        <vertAlign val="baseline"/>
        <sz val="7"/>
        <color indexed="8"/>
        <name val="Arial"/>
        <family val="2"/>
        <charset val="1"/>
        <scheme val="none"/>
      </font>
    </dxf>
    <dxf>
      <font>
        <b val="0"/>
        <i val="0"/>
        <strike val="0"/>
        <condense val="0"/>
        <extend val="0"/>
        <outline val="0"/>
        <shadow val="0"/>
        <u val="none"/>
        <vertAlign val="baseline"/>
        <sz val="7"/>
        <color indexed="8"/>
        <name val="Arial"/>
        <family val="2"/>
        <charset val="1"/>
        <scheme val="none"/>
      </font>
    </dxf>
    <dxf>
      <font>
        <b val="0"/>
        <i val="0"/>
        <strike val="0"/>
        <condense val="0"/>
        <extend val="0"/>
        <outline val="0"/>
        <shadow val="0"/>
        <u val="none"/>
        <vertAlign val="baseline"/>
        <sz val="7"/>
        <color indexed="8"/>
        <name val="Arial"/>
        <family val="2"/>
        <charset val="1"/>
        <scheme val="none"/>
      </font>
    </dxf>
    <dxf>
      <font>
        <b val="0"/>
        <i val="0"/>
        <strike val="0"/>
        <condense val="0"/>
        <extend val="0"/>
        <outline val="0"/>
        <shadow val="0"/>
        <u val="none"/>
        <vertAlign val="baseline"/>
        <sz val="7"/>
        <color indexed="8"/>
        <name val="Arial"/>
        <family val="2"/>
        <charset val="1"/>
        <scheme val="none"/>
      </font>
    </dxf>
    <dxf>
      <font>
        <b val="0"/>
        <i val="0"/>
        <strike val="0"/>
        <condense val="0"/>
        <extend val="0"/>
        <outline val="0"/>
        <shadow val="0"/>
        <u val="none"/>
        <vertAlign val="baseline"/>
        <sz val="7"/>
        <color indexed="8"/>
        <name val="Arial"/>
        <family val="2"/>
        <charset val="1"/>
        <scheme val="none"/>
      </font>
    </dxf>
    <dxf>
      <font>
        <b val="0"/>
        <i val="0"/>
        <strike val="0"/>
        <condense val="0"/>
        <extend val="0"/>
        <outline val="0"/>
        <shadow val="0"/>
        <u val="none"/>
        <vertAlign val="baseline"/>
        <sz val="7"/>
        <color indexed="8"/>
        <name val="Arial"/>
        <family val="2"/>
        <charset val="1"/>
        <scheme val="none"/>
      </font>
    </dxf>
    <dxf>
      <font>
        <b val="0"/>
        <i val="0"/>
        <strike val="0"/>
        <condense val="0"/>
        <extend val="0"/>
        <outline val="0"/>
        <shadow val="0"/>
        <u val="none"/>
        <vertAlign val="baseline"/>
        <sz val="7"/>
        <color indexed="8"/>
        <name val="Arial"/>
        <family val="2"/>
        <charset val="1"/>
        <scheme val="none"/>
      </font>
    </dxf>
    <dxf>
      <font>
        <b val="0"/>
        <i val="0"/>
        <strike val="0"/>
        <condense val="0"/>
        <extend val="0"/>
        <outline val="0"/>
        <shadow val="0"/>
        <u val="none"/>
        <vertAlign val="baseline"/>
        <sz val="7"/>
        <color indexed="8"/>
        <name val="Arial"/>
        <family val="2"/>
        <charset val="1"/>
        <scheme val="none"/>
      </font>
    </dxf>
    <dxf>
      <font>
        <b val="0"/>
        <i val="0"/>
        <strike val="0"/>
        <condense val="0"/>
        <extend val="0"/>
        <outline val="0"/>
        <shadow val="0"/>
        <u val="none"/>
        <vertAlign val="baseline"/>
        <sz val="7"/>
        <color indexed="8"/>
        <name val="Arial"/>
        <family val="2"/>
        <charset val="1"/>
        <scheme val="none"/>
      </font>
    </dxf>
    <dxf>
      <font>
        <b val="0"/>
        <i val="0"/>
        <strike val="0"/>
        <condense val="0"/>
        <extend val="0"/>
        <outline val="0"/>
        <shadow val="0"/>
        <u val="none"/>
        <vertAlign val="baseline"/>
        <sz val="7"/>
        <color indexed="8"/>
        <name val="Arial"/>
        <family val="2"/>
        <charset val="1"/>
        <scheme val="none"/>
      </font>
    </dxf>
    <dxf>
      <font>
        <b val="0"/>
        <i val="0"/>
        <strike val="0"/>
        <condense val="0"/>
        <extend val="0"/>
        <outline val="0"/>
        <shadow val="0"/>
        <u val="none"/>
        <vertAlign val="baseline"/>
        <sz val="7"/>
        <color indexed="8"/>
        <name val="Arial"/>
        <family val="2"/>
        <charset val="1"/>
        <scheme val="none"/>
      </font>
    </dxf>
    <dxf>
      <font>
        <b val="0"/>
        <i val="0"/>
        <strike val="0"/>
        <condense val="0"/>
        <extend val="0"/>
        <outline val="0"/>
        <shadow val="0"/>
        <u val="none"/>
        <vertAlign val="baseline"/>
        <sz val="7"/>
        <color indexed="8"/>
        <name val="Arial"/>
        <family val="2"/>
        <charset val="1"/>
        <scheme val="none"/>
      </font>
    </dxf>
    <dxf>
      <font>
        <b val="0"/>
        <i val="0"/>
        <strike val="0"/>
        <condense val="0"/>
        <extend val="0"/>
        <outline val="0"/>
        <shadow val="0"/>
        <u val="none"/>
        <vertAlign val="baseline"/>
        <sz val="7"/>
        <color indexed="8"/>
        <name val="Arial"/>
        <family val="2"/>
        <charset val="1"/>
        <scheme val="none"/>
      </font>
    </dxf>
    <dxf>
      <font>
        <b val="0"/>
        <i val="0"/>
        <strike val="0"/>
        <condense val="0"/>
        <extend val="0"/>
        <outline val="0"/>
        <shadow val="0"/>
        <u val="none"/>
        <vertAlign val="baseline"/>
        <sz val="7"/>
        <color indexed="8"/>
        <name val="Arial"/>
        <family val="2"/>
        <charset val="1"/>
        <scheme val="none"/>
      </font>
    </dxf>
    <dxf>
      <font>
        <b val="0"/>
        <i val="0"/>
        <strike val="0"/>
        <condense val="0"/>
        <extend val="0"/>
        <outline val="0"/>
        <shadow val="0"/>
        <u val="none"/>
        <vertAlign val="baseline"/>
        <sz val="7"/>
        <color indexed="8"/>
        <name val="Arial"/>
        <family val="2"/>
        <charset val="1"/>
        <scheme val="none"/>
      </font>
    </dxf>
    <dxf>
      <font>
        <b val="0"/>
        <i val="0"/>
        <strike val="0"/>
        <condense val="0"/>
        <extend val="0"/>
        <outline val="0"/>
        <shadow val="0"/>
        <u val="none"/>
        <vertAlign val="baseline"/>
        <sz val="7"/>
        <color indexed="8"/>
        <name val="Arial"/>
        <family val="2"/>
        <charset val="1"/>
        <scheme val="none"/>
      </font>
    </dxf>
    <dxf>
      <font>
        <b val="0"/>
        <i val="0"/>
        <strike val="0"/>
        <condense val="0"/>
        <extend val="0"/>
        <outline val="0"/>
        <shadow val="0"/>
        <u val="none"/>
        <vertAlign val="baseline"/>
        <sz val="7"/>
        <color indexed="8"/>
        <name val="Arial"/>
        <family val="2"/>
        <charset val="1"/>
        <scheme val="none"/>
      </font>
    </dxf>
    <dxf>
      <font>
        <b val="0"/>
        <i val="0"/>
        <strike val="0"/>
        <condense val="0"/>
        <extend val="0"/>
        <outline val="0"/>
        <shadow val="0"/>
        <u val="none"/>
        <vertAlign val="baseline"/>
        <sz val="7"/>
        <color indexed="8"/>
        <name val="Arial"/>
        <family val="2"/>
        <charset val="1"/>
        <scheme val="none"/>
      </font>
    </dxf>
    <dxf>
      <font>
        <b val="0"/>
        <i val="0"/>
        <strike val="0"/>
        <condense val="0"/>
        <extend val="0"/>
        <outline val="0"/>
        <shadow val="0"/>
        <u val="none"/>
        <vertAlign val="baseline"/>
        <sz val="7"/>
        <color indexed="8"/>
        <name val="Arial"/>
        <family val="2"/>
        <charset val="1"/>
        <scheme val="none"/>
      </font>
    </dxf>
    <dxf>
      <font>
        <b val="0"/>
        <i val="0"/>
        <strike val="0"/>
        <condense val="0"/>
        <extend val="0"/>
        <outline val="0"/>
        <shadow val="0"/>
        <u val="none"/>
        <vertAlign val="baseline"/>
        <sz val="7"/>
        <color indexed="8"/>
        <name val="Arial"/>
        <family val="2"/>
        <charset val="1"/>
        <scheme val="none"/>
      </font>
    </dxf>
    <dxf>
      <font>
        <b val="0"/>
        <i val="0"/>
        <strike val="0"/>
        <condense val="0"/>
        <extend val="0"/>
        <outline val="0"/>
        <shadow val="0"/>
        <u val="none"/>
        <vertAlign val="baseline"/>
        <sz val="7"/>
        <color indexed="8"/>
        <name val="Arial"/>
        <family val="2"/>
        <charset val="1"/>
        <scheme val="none"/>
      </font>
    </dxf>
    <dxf>
      <font>
        <b val="0"/>
        <i val="0"/>
        <strike val="0"/>
        <condense val="0"/>
        <extend val="0"/>
        <outline val="0"/>
        <shadow val="0"/>
        <u val="none"/>
        <vertAlign val="baseline"/>
        <sz val="7"/>
        <color indexed="8"/>
        <name val="Arial"/>
        <family val="2"/>
        <charset val="1"/>
        <scheme val="none"/>
      </font>
    </dxf>
    <dxf>
      <font>
        <b val="0"/>
        <i val="0"/>
        <strike val="0"/>
        <condense val="0"/>
        <extend val="0"/>
        <outline val="0"/>
        <shadow val="0"/>
        <u val="none"/>
        <vertAlign val="baseline"/>
        <sz val="7"/>
        <color indexed="8"/>
        <name val="Arial"/>
        <family val="2"/>
        <charset val="1"/>
        <scheme val="none"/>
      </font>
    </dxf>
    <dxf>
      <font>
        <b val="0"/>
        <i val="0"/>
        <strike val="0"/>
        <condense val="0"/>
        <extend val="0"/>
        <outline val="0"/>
        <shadow val="0"/>
        <u val="none"/>
        <vertAlign val="baseline"/>
        <sz val="7"/>
        <color indexed="8"/>
        <name val="Arial"/>
        <family val="2"/>
        <charset val="1"/>
        <scheme val="none"/>
      </font>
    </dxf>
    <dxf>
      <font>
        <b val="0"/>
        <i val="0"/>
        <strike val="0"/>
        <condense val="0"/>
        <extend val="0"/>
        <outline val="0"/>
        <shadow val="0"/>
        <u val="none"/>
        <vertAlign val="baseline"/>
        <sz val="7"/>
        <color indexed="8"/>
        <name val="Arial"/>
        <family val="2"/>
        <charset val="1"/>
        <scheme val="none"/>
      </font>
    </dxf>
    <dxf>
      <font>
        <b val="0"/>
        <i val="0"/>
        <strike val="0"/>
        <condense val="0"/>
        <extend val="0"/>
        <outline val="0"/>
        <shadow val="0"/>
        <u val="none"/>
        <vertAlign val="baseline"/>
        <sz val="7"/>
        <color indexed="8"/>
        <name val="Arial"/>
        <family val="2"/>
        <charset val="1"/>
        <scheme val="none"/>
      </font>
    </dxf>
    <dxf>
      <font>
        <b val="0"/>
        <i val="0"/>
        <strike val="0"/>
        <condense val="0"/>
        <extend val="0"/>
        <outline val="0"/>
        <shadow val="0"/>
        <u val="none"/>
        <vertAlign val="baseline"/>
        <sz val="7"/>
        <color indexed="8"/>
        <name val="Arial"/>
        <family val="2"/>
        <charset val="1"/>
        <scheme val="none"/>
      </font>
    </dxf>
    <dxf>
      <font>
        <b val="0"/>
        <i val="0"/>
        <strike val="0"/>
        <condense val="0"/>
        <extend val="0"/>
        <outline val="0"/>
        <shadow val="0"/>
        <u val="none"/>
        <vertAlign val="baseline"/>
        <sz val="7"/>
        <color indexed="8"/>
        <name val="Arial"/>
        <family val="2"/>
        <charset val="1"/>
        <scheme val="none"/>
      </font>
    </dxf>
    <dxf>
      <font>
        <b val="0"/>
        <i val="0"/>
        <strike val="0"/>
        <condense val="0"/>
        <extend val="0"/>
        <outline val="0"/>
        <shadow val="0"/>
        <u val="none"/>
        <vertAlign val="baseline"/>
        <sz val="7"/>
        <color indexed="8"/>
        <name val="Arial"/>
        <family val="2"/>
        <charset val="1"/>
        <scheme val="none"/>
      </font>
    </dxf>
    <dxf>
      <font>
        <b val="0"/>
        <i val="0"/>
        <strike val="0"/>
        <condense val="0"/>
        <extend val="0"/>
        <outline val="0"/>
        <shadow val="0"/>
        <u val="none"/>
        <vertAlign val="baseline"/>
        <sz val="7"/>
        <color indexed="8"/>
        <name val="Arial"/>
        <family val="2"/>
        <charset val="1"/>
        <scheme val="none"/>
      </font>
    </dxf>
    <dxf>
      <font>
        <b val="0"/>
        <i val="0"/>
        <strike val="0"/>
        <condense val="0"/>
        <extend val="0"/>
        <outline val="0"/>
        <shadow val="0"/>
        <u val="none"/>
        <vertAlign val="baseline"/>
        <sz val="7"/>
        <color indexed="8"/>
        <name val="Arial"/>
        <family val="2"/>
        <charset val="1"/>
        <scheme val="none"/>
      </font>
    </dxf>
    <dxf>
      <font>
        <b val="0"/>
        <i val="0"/>
        <strike val="0"/>
        <condense val="0"/>
        <extend val="0"/>
        <outline val="0"/>
        <shadow val="0"/>
        <u val="none"/>
        <vertAlign val="baseline"/>
        <sz val="7"/>
        <color indexed="8"/>
        <name val="Arial"/>
        <family val="2"/>
        <charset val="1"/>
        <scheme val="none"/>
      </font>
    </dxf>
    <dxf>
      <font>
        <b val="0"/>
        <i val="0"/>
        <strike val="0"/>
        <condense val="0"/>
        <extend val="0"/>
        <outline val="0"/>
        <shadow val="0"/>
        <u val="none"/>
        <vertAlign val="baseline"/>
        <sz val="7"/>
        <color indexed="8"/>
        <name val="Arial"/>
        <family val="2"/>
        <charset val="1"/>
        <scheme val="none"/>
      </font>
    </dxf>
    <dxf>
      <font>
        <b val="0"/>
        <i val="0"/>
        <strike val="0"/>
        <condense val="0"/>
        <extend val="0"/>
        <outline val="0"/>
        <shadow val="0"/>
        <u val="none"/>
        <vertAlign val="baseline"/>
        <sz val="7"/>
        <color indexed="8"/>
        <name val="Arial"/>
        <family val="2"/>
        <charset val="1"/>
        <scheme val="none"/>
      </font>
    </dxf>
    <dxf>
      <font>
        <b val="0"/>
        <i val="0"/>
        <strike val="0"/>
        <condense val="0"/>
        <extend val="0"/>
        <outline val="0"/>
        <shadow val="0"/>
        <u val="none"/>
        <vertAlign val="baseline"/>
        <sz val="7"/>
        <color indexed="8"/>
        <name val="Arial"/>
        <family val="2"/>
        <charset val="1"/>
        <scheme val="none"/>
      </font>
    </dxf>
    <dxf>
      <font>
        <b val="0"/>
        <i val="0"/>
        <strike val="0"/>
        <condense val="0"/>
        <extend val="0"/>
        <outline val="0"/>
        <shadow val="0"/>
        <u val="none"/>
        <vertAlign val="baseline"/>
        <sz val="7"/>
        <color indexed="8"/>
        <name val="Arial"/>
        <family val="2"/>
        <charset val="1"/>
        <scheme val="none"/>
      </font>
    </dxf>
    <dxf>
      <font>
        <b val="0"/>
        <i val="0"/>
        <strike val="0"/>
        <condense val="0"/>
        <extend val="0"/>
        <outline val="0"/>
        <shadow val="0"/>
        <u val="none"/>
        <vertAlign val="baseline"/>
        <sz val="7"/>
        <color indexed="8"/>
        <name val="Arial"/>
        <family val="2"/>
        <charset val="1"/>
        <scheme val="none"/>
      </font>
    </dxf>
    <dxf>
      <font>
        <b val="0"/>
        <i val="0"/>
        <strike val="0"/>
        <condense val="0"/>
        <extend val="0"/>
        <outline val="0"/>
        <shadow val="0"/>
        <u val="none"/>
        <vertAlign val="baseline"/>
        <sz val="7"/>
        <color indexed="8"/>
        <name val="Arial"/>
        <family val="2"/>
        <charset val="1"/>
        <scheme val="none"/>
      </font>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indexed="8"/>
        <name val="Arial"/>
        <family val="2"/>
        <charset val="1"/>
        <scheme val="none"/>
      </font>
    </dxf>
    <dxf>
      <font>
        <b val="0"/>
        <i val="0"/>
        <strike val="0"/>
        <condense val="0"/>
        <extend val="0"/>
        <outline val="0"/>
        <shadow val="0"/>
        <u val="none"/>
        <vertAlign val="baseline"/>
        <sz val="7"/>
        <color indexed="8"/>
        <name val="Arial"/>
        <family val="2"/>
        <charset val="1"/>
        <scheme val="none"/>
      </font>
    </dxf>
    <dxf>
      <font>
        <b val="0"/>
        <i val="0"/>
        <strike val="0"/>
        <condense val="0"/>
        <extend val="0"/>
        <outline val="0"/>
        <shadow val="0"/>
        <u val="none"/>
        <vertAlign val="baseline"/>
        <sz val="7"/>
        <color indexed="8"/>
        <name val="Arial"/>
        <family val="2"/>
        <charset val="1"/>
        <scheme val="none"/>
      </font>
    </dxf>
    <dxf>
      <font>
        <b val="0"/>
        <i val="0"/>
        <strike val="0"/>
        <condense val="0"/>
        <extend val="0"/>
        <outline val="0"/>
        <shadow val="0"/>
        <u val="none"/>
        <vertAlign val="baseline"/>
        <sz val="7"/>
        <color indexed="8"/>
        <name val="Arial"/>
        <family val="2"/>
        <charset val="1"/>
        <scheme val="none"/>
      </font>
    </dxf>
    <dxf>
      <font>
        <b val="0"/>
        <i val="0"/>
        <strike val="0"/>
        <condense val="0"/>
        <extend val="0"/>
        <outline val="0"/>
        <shadow val="0"/>
        <u val="none"/>
        <vertAlign val="baseline"/>
        <sz val="7"/>
        <color indexed="8"/>
        <name val="Arial"/>
        <family val="2"/>
        <charset val="1"/>
        <scheme val="none"/>
      </font>
    </dxf>
    <dxf>
      <font>
        <b val="0"/>
        <i val="0"/>
        <strike val="0"/>
        <condense val="0"/>
        <extend val="0"/>
        <outline val="0"/>
        <shadow val="0"/>
        <u val="none"/>
        <vertAlign val="baseline"/>
        <sz val="7"/>
        <color indexed="8"/>
        <name val="Arial"/>
        <family val="2"/>
        <charset val="1"/>
        <scheme val="none"/>
      </font>
    </dxf>
    <dxf>
      <font>
        <b val="0"/>
        <i val="0"/>
        <strike val="0"/>
        <condense val="0"/>
        <extend val="0"/>
        <outline val="0"/>
        <shadow val="0"/>
        <u val="none"/>
        <vertAlign val="baseline"/>
        <sz val="7"/>
        <color indexed="8"/>
        <name val="Arial"/>
        <family val="2"/>
        <charset val="1"/>
        <scheme val="none"/>
      </font>
    </dxf>
    <dxf>
      <font>
        <b val="0"/>
        <i val="0"/>
        <strike val="0"/>
        <condense val="0"/>
        <extend val="0"/>
        <outline val="0"/>
        <shadow val="0"/>
        <u val="none"/>
        <vertAlign val="baseline"/>
        <sz val="7"/>
        <color indexed="8"/>
        <name val="Arial"/>
        <family val="2"/>
        <charset val="1"/>
        <scheme val="none"/>
      </font>
    </dxf>
    <dxf>
      <font>
        <b val="0"/>
        <i val="0"/>
        <strike val="0"/>
        <condense val="0"/>
        <extend val="0"/>
        <outline val="0"/>
        <shadow val="0"/>
        <u val="none"/>
        <vertAlign val="baseline"/>
        <sz val="7"/>
        <color indexed="8"/>
        <name val="Arial"/>
        <family val="2"/>
        <charset val="1"/>
        <scheme val="none"/>
      </font>
    </dxf>
    <dxf>
      <font>
        <b val="0"/>
        <i val="0"/>
        <strike val="0"/>
        <condense val="0"/>
        <extend val="0"/>
        <outline val="0"/>
        <shadow val="0"/>
        <u val="none"/>
        <vertAlign val="baseline"/>
        <sz val="7"/>
        <color indexed="8"/>
        <name val="Arial"/>
        <family val="2"/>
        <charset val="1"/>
        <scheme val="none"/>
      </font>
    </dxf>
    <dxf>
      <font>
        <b val="0"/>
        <i val="0"/>
        <strike val="0"/>
        <condense val="0"/>
        <extend val="0"/>
        <outline val="0"/>
        <shadow val="0"/>
        <u val="none"/>
        <vertAlign val="baseline"/>
        <sz val="7"/>
        <color indexed="8"/>
        <name val="Arial"/>
        <family val="2"/>
        <charset val="1"/>
        <scheme val="none"/>
      </font>
    </dxf>
    <dxf>
      <font>
        <b val="0"/>
        <i val="0"/>
        <strike val="0"/>
        <condense val="0"/>
        <extend val="0"/>
        <outline val="0"/>
        <shadow val="0"/>
        <u val="none"/>
        <vertAlign val="baseline"/>
        <sz val="7"/>
        <color indexed="8"/>
        <name val="Arial"/>
        <family val="2"/>
        <charset val="1"/>
        <scheme val="none"/>
      </font>
    </dxf>
    <dxf>
      <font>
        <b val="0"/>
        <i val="0"/>
        <strike val="0"/>
        <condense val="0"/>
        <extend val="0"/>
        <outline val="0"/>
        <shadow val="0"/>
        <u val="none"/>
        <vertAlign val="baseline"/>
        <sz val="7"/>
        <color indexed="8"/>
        <name val="Arial"/>
        <family val="2"/>
        <charset val="1"/>
        <scheme val="none"/>
      </font>
    </dxf>
    <dxf>
      <font>
        <b val="0"/>
        <i val="0"/>
        <strike val="0"/>
        <condense val="0"/>
        <extend val="0"/>
        <outline val="0"/>
        <shadow val="0"/>
        <u val="none"/>
        <vertAlign val="baseline"/>
        <sz val="7"/>
        <color indexed="8"/>
        <name val="Arial"/>
        <family val="2"/>
        <charset val="1"/>
        <scheme val="none"/>
      </font>
    </dxf>
    <dxf>
      <font>
        <b val="0"/>
        <i val="0"/>
        <strike val="0"/>
        <condense val="0"/>
        <extend val="0"/>
        <outline val="0"/>
        <shadow val="0"/>
        <u val="none"/>
        <vertAlign val="baseline"/>
        <sz val="7"/>
        <color indexed="8"/>
        <name val="Arial"/>
        <family val="2"/>
        <charset val="1"/>
        <scheme val="none"/>
      </font>
    </dxf>
    <dxf>
      <font>
        <b val="0"/>
        <i val="0"/>
        <strike val="0"/>
        <condense val="0"/>
        <extend val="0"/>
        <outline val="0"/>
        <shadow val="0"/>
        <u val="none"/>
        <vertAlign val="baseline"/>
        <sz val="7"/>
        <color indexed="8"/>
        <name val="Arial"/>
        <family val="2"/>
        <charset val="1"/>
        <scheme val="none"/>
      </font>
    </dxf>
    <dxf>
      <font>
        <b val="0"/>
        <i val="0"/>
        <strike val="0"/>
        <condense val="0"/>
        <extend val="0"/>
        <outline val="0"/>
        <shadow val="0"/>
        <u val="none"/>
        <vertAlign val="baseline"/>
        <sz val="7"/>
        <color indexed="8"/>
        <name val="Arial"/>
        <family val="2"/>
        <charset val="1"/>
        <scheme val="none"/>
      </font>
    </dxf>
    <dxf>
      <font>
        <b val="0"/>
        <i val="0"/>
        <strike val="0"/>
        <condense val="0"/>
        <extend val="0"/>
        <outline val="0"/>
        <shadow val="0"/>
        <u val="none"/>
        <vertAlign val="baseline"/>
        <sz val="7"/>
        <color indexed="8"/>
        <name val="Arial"/>
        <family val="2"/>
        <charset val="1"/>
        <scheme val="none"/>
      </font>
    </dxf>
    <dxf>
      <font>
        <b val="0"/>
        <i val="0"/>
        <strike val="0"/>
        <condense val="0"/>
        <extend val="0"/>
        <outline val="0"/>
        <shadow val="0"/>
        <u val="none"/>
        <vertAlign val="baseline"/>
        <sz val="7"/>
        <color indexed="8"/>
        <name val="Arial"/>
        <family val="2"/>
        <charset val="1"/>
        <scheme val="none"/>
      </font>
    </dxf>
    <dxf>
      <font>
        <b val="0"/>
        <i val="0"/>
        <strike val="0"/>
        <condense val="0"/>
        <extend val="0"/>
        <outline val="0"/>
        <shadow val="0"/>
        <u val="none"/>
        <vertAlign val="baseline"/>
        <sz val="7"/>
        <color indexed="8"/>
        <name val="Arial"/>
        <family val="2"/>
        <charset val="1"/>
        <scheme val="none"/>
      </font>
    </dxf>
    <dxf>
      <font>
        <b val="0"/>
        <i val="0"/>
        <strike val="0"/>
        <condense val="0"/>
        <extend val="0"/>
        <outline val="0"/>
        <shadow val="0"/>
        <u val="none"/>
        <vertAlign val="baseline"/>
        <sz val="7"/>
        <color indexed="8"/>
        <name val="Arial"/>
        <family val="2"/>
        <charset val="1"/>
        <scheme val="none"/>
      </font>
    </dxf>
    <dxf>
      <font>
        <b val="0"/>
        <i val="0"/>
        <strike val="0"/>
        <condense val="0"/>
        <extend val="0"/>
        <outline val="0"/>
        <shadow val="0"/>
        <u val="none"/>
        <vertAlign val="baseline"/>
        <sz val="7"/>
        <color indexed="8"/>
        <name val="Arial"/>
        <family val="2"/>
        <charset val="1"/>
        <scheme val="none"/>
      </font>
    </dxf>
    <dxf>
      <font>
        <b val="0"/>
        <i val="0"/>
        <strike val="0"/>
        <condense val="0"/>
        <extend val="0"/>
        <outline val="0"/>
        <shadow val="0"/>
        <u val="none"/>
        <vertAlign val="baseline"/>
        <sz val="7"/>
        <color indexed="8"/>
        <name val="Arial"/>
        <family val="2"/>
        <charset val="1"/>
        <scheme val="none"/>
      </font>
    </dxf>
    <dxf>
      <font>
        <b val="0"/>
        <i val="0"/>
        <strike val="0"/>
        <condense val="0"/>
        <extend val="0"/>
        <outline val="0"/>
        <shadow val="0"/>
        <u val="none"/>
        <vertAlign val="baseline"/>
        <sz val="7"/>
        <color indexed="8"/>
        <name val="Arial"/>
        <family val="2"/>
        <charset val="1"/>
        <scheme val="none"/>
      </font>
    </dxf>
    <dxf>
      <font>
        <b val="0"/>
        <i val="0"/>
        <strike val="0"/>
        <condense val="0"/>
        <extend val="0"/>
        <outline val="0"/>
        <shadow val="0"/>
        <u val="none"/>
        <vertAlign val="baseline"/>
        <sz val="7"/>
        <color indexed="8"/>
        <name val="Arial"/>
        <family val="2"/>
        <charset val="1"/>
        <scheme val="none"/>
      </font>
    </dxf>
    <dxf>
      <font>
        <b val="0"/>
        <i val="0"/>
        <strike val="0"/>
        <condense val="0"/>
        <extend val="0"/>
        <outline val="0"/>
        <shadow val="0"/>
        <u val="none"/>
        <vertAlign val="baseline"/>
        <sz val="7"/>
        <color indexed="8"/>
        <name val="Arial"/>
        <family val="2"/>
        <charset val="1"/>
        <scheme val="none"/>
      </font>
    </dxf>
    <dxf>
      <font>
        <b val="0"/>
        <i val="0"/>
        <strike val="0"/>
        <condense val="0"/>
        <extend val="0"/>
        <outline val="0"/>
        <shadow val="0"/>
        <u val="none"/>
        <vertAlign val="baseline"/>
        <sz val="7"/>
        <color indexed="8"/>
        <name val="Arial"/>
        <family val="2"/>
        <charset val="1"/>
        <scheme val="none"/>
      </font>
    </dxf>
    <dxf>
      <font>
        <b val="0"/>
        <i val="0"/>
        <strike val="0"/>
        <condense val="0"/>
        <extend val="0"/>
        <outline val="0"/>
        <shadow val="0"/>
        <u val="none"/>
        <vertAlign val="baseline"/>
        <sz val="7"/>
        <color indexed="8"/>
        <name val="Arial"/>
        <family val="2"/>
        <charset val="1"/>
        <scheme val="none"/>
      </font>
    </dxf>
    <dxf>
      <font>
        <b val="0"/>
        <i val="0"/>
        <strike val="0"/>
        <condense val="0"/>
        <extend val="0"/>
        <outline val="0"/>
        <shadow val="0"/>
        <u val="none"/>
        <vertAlign val="baseline"/>
        <sz val="7"/>
        <color indexed="8"/>
        <name val="Arial"/>
        <family val="2"/>
        <charset val="1"/>
        <scheme val="none"/>
      </font>
    </dxf>
    <dxf>
      <font>
        <b val="0"/>
        <i val="0"/>
        <strike val="0"/>
        <condense val="0"/>
        <extend val="0"/>
        <outline val="0"/>
        <shadow val="0"/>
        <u val="none"/>
        <vertAlign val="baseline"/>
        <sz val="7"/>
        <color indexed="8"/>
        <name val="Arial"/>
        <family val="2"/>
        <charset val="1"/>
        <scheme val="none"/>
      </font>
    </dxf>
    <dxf>
      <font>
        <b val="0"/>
        <i val="0"/>
        <strike val="0"/>
        <condense val="0"/>
        <extend val="0"/>
        <outline val="0"/>
        <shadow val="0"/>
        <u val="none"/>
        <vertAlign val="baseline"/>
        <sz val="7"/>
        <color indexed="8"/>
        <name val="Arial"/>
        <family val="2"/>
        <charset val="1"/>
        <scheme val="none"/>
      </font>
    </dxf>
    <dxf>
      <font>
        <b val="0"/>
        <i val="0"/>
        <strike val="0"/>
        <condense val="0"/>
        <extend val="0"/>
        <outline val="0"/>
        <shadow val="0"/>
        <u val="none"/>
        <vertAlign val="baseline"/>
        <sz val="7"/>
        <color indexed="8"/>
        <name val="Arial"/>
        <family val="2"/>
        <charset val="1"/>
        <scheme val="none"/>
      </font>
    </dxf>
    <dxf>
      <font>
        <b val="0"/>
        <i val="0"/>
        <strike val="0"/>
        <condense val="0"/>
        <extend val="0"/>
        <outline val="0"/>
        <shadow val="0"/>
        <u val="none"/>
        <vertAlign val="baseline"/>
        <sz val="7"/>
        <color indexed="8"/>
        <name val="Arial"/>
        <family val="2"/>
        <charset val="1"/>
        <scheme val="none"/>
      </font>
    </dxf>
    <dxf>
      <font>
        <b val="0"/>
        <i val="0"/>
        <strike val="0"/>
        <condense val="0"/>
        <extend val="0"/>
        <outline val="0"/>
        <shadow val="0"/>
        <u val="none"/>
        <vertAlign val="baseline"/>
        <sz val="7"/>
        <color indexed="8"/>
        <name val="Arial"/>
        <family val="2"/>
        <charset val="1"/>
        <scheme val="none"/>
      </font>
    </dxf>
    <dxf>
      <font>
        <b val="0"/>
        <i val="0"/>
        <strike val="0"/>
        <condense val="0"/>
        <extend val="0"/>
        <outline val="0"/>
        <shadow val="0"/>
        <u val="none"/>
        <vertAlign val="baseline"/>
        <sz val="7"/>
        <color indexed="8"/>
        <name val="Arial"/>
        <family val="2"/>
        <charset val="1"/>
        <scheme val="none"/>
      </font>
    </dxf>
    <dxf>
      <font>
        <b val="0"/>
        <i val="0"/>
        <strike val="0"/>
        <condense val="0"/>
        <extend val="0"/>
        <outline val="0"/>
        <shadow val="0"/>
        <u val="none"/>
        <vertAlign val="baseline"/>
        <sz val="7"/>
        <color indexed="8"/>
        <name val="Arial"/>
        <family val="2"/>
        <charset val="1"/>
        <scheme val="none"/>
      </font>
    </dxf>
    <dxf>
      <font>
        <b val="0"/>
        <i val="0"/>
        <strike val="0"/>
        <condense val="0"/>
        <extend val="0"/>
        <outline val="0"/>
        <shadow val="0"/>
        <u val="none"/>
        <vertAlign val="baseline"/>
        <sz val="7"/>
        <color indexed="8"/>
        <name val="Arial"/>
        <family val="2"/>
        <charset val="1"/>
        <scheme val="none"/>
      </font>
    </dxf>
    <dxf>
      <font>
        <b val="0"/>
        <i val="0"/>
        <strike val="0"/>
        <condense val="0"/>
        <extend val="0"/>
        <outline val="0"/>
        <shadow val="0"/>
        <u val="none"/>
        <vertAlign val="baseline"/>
        <sz val="7"/>
        <color indexed="8"/>
        <name val="Arial"/>
        <family val="2"/>
        <charset val="1"/>
        <scheme val="none"/>
      </font>
    </dxf>
    <dxf>
      <font>
        <b val="0"/>
        <i val="0"/>
        <strike val="0"/>
        <condense val="0"/>
        <extend val="0"/>
        <outline val="0"/>
        <shadow val="0"/>
        <u val="none"/>
        <vertAlign val="baseline"/>
        <sz val="7"/>
        <color indexed="8"/>
        <name val="Arial"/>
        <family val="2"/>
        <charset val="1"/>
        <scheme val="none"/>
      </font>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indexed="8"/>
        <name val="Arial"/>
        <family val="2"/>
        <charset val="1"/>
        <scheme val="none"/>
      </font>
    </dxf>
    <dxf>
      <font>
        <b val="0"/>
        <i val="0"/>
        <strike val="0"/>
        <condense val="0"/>
        <extend val="0"/>
        <outline val="0"/>
        <shadow val="0"/>
        <u val="none"/>
        <vertAlign val="baseline"/>
        <sz val="7"/>
        <color indexed="8"/>
        <name val="Arial"/>
        <family val="2"/>
        <charset val="1"/>
        <scheme val="none"/>
      </font>
    </dxf>
    <dxf>
      <font>
        <b val="0"/>
        <i val="0"/>
        <strike val="0"/>
        <condense val="0"/>
        <extend val="0"/>
        <outline val="0"/>
        <shadow val="0"/>
        <u val="none"/>
        <vertAlign val="baseline"/>
        <sz val="7"/>
        <color indexed="8"/>
        <name val="Arial"/>
        <family val="2"/>
        <charset val="1"/>
        <scheme val="none"/>
      </font>
    </dxf>
    <dxf>
      <font>
        <b val="0"/>
        <i val="0"/>
        <strike val="0"/>
        <condense val="0"/>
        <extend val="0"/>
        <outline val="0"/>
        <shadow val="0"/>
        <u val="none"/>
        <vertAlign val="baseline"/>
        <sz val="7"/>
        <color indexed="8"/>
        <name val="Arial"/>
        <family val="2"/>
        <charset val="1"/>
        <scheme val="none"/>
      </font>
    </dxf>
    <dxf>
      <font>
        <b val="0"/>
        <i val="0"/>
        <strike val="0"/>
        <condense val="0"/>
        <extend val="0"/>
        <outline val="0"/>
        <shadow val="0"/>
        <u val="none"/>
        <vertAlign val="baseline"/>
        <sz val="7"/>
        <color indexed="8"/>
        <name val="Arial"/>
        <family val="2"/>
        <charset val="1"/>
        <scheme val="none"/>
      </font>
    </dxf>
    <dxf>
      <font>
        <b val="0"/>
        <i val="0"/>
        <strike val="0"/>
        <condense val="0"/>
        <extend val="0"/>
        <outline val="0"/>
        <shadow val="0"/>
        <u val="none"/>
        <vertAlign val="baseline"/>
        <sz val="7"/>
        <color indexed="8"/>
        <name val="Arial"/>
        <family val="2"/>
        <charset val="1"/>
        <scheme val="none"/>
      </font>
    </dxf>
    <dxf>
      <font>
        <b val="0"/>
        <i val="0"/>
        <strike val="0"/>
        <condense val="0"/>
        <extend val="0"/>
        <outline val="0"/>
        <shadow val="0"/>
        <u val="none"/>
        <vertAlign val="baseline"/>
        <sz val="7"/>
        <color indexed="8"/>
        <name val="Arial"/>
        <family val="2"/>
        <charset val="1"/>
        <scheme val="none"/>
      </font>
    </dxf>
    <dxf>
      <font>
        <b val="0"/>
        <i val="0"/>
        <strike val="0"/>
        <condense val="0"/>
        <extend val="0"/>
        <outline val="0"/>
        <shadow val="0"/>
        <u val="none"/>
        <vertAlign val="baseline"/>
        <sz val="7"/>
        <color indexed="8"/>
        <name val="Arial"/>
        <family val="2"/>
        <charset val="1"/>
        <scheme val="none"/>
      </font>
    </dxf>
    <dxf>
      <font>
        <b val="0"/>
        <i val="0"/>
        <strike val="0"/>
        <condense val="0"/>
        <extend val="0"/>
        <outline val="0"/>
        <shadow val="0"/>
        <u val="none"/>
        <vertAlign val="baseline"/>
        <sz val="7"/>
        <color indexed="8"/>
        <name val="Arial"/>
        <family val="2"/>
        <charset val="1"/>
        <scheme val="none"/>
      </font>
    </dxf>
    <dxf>
      <font>
        <b val="0"/>
        <i val="0"/>
        <strike val="0"/>
        <condense val="0"/>
        <extend val="0"/>
        <outline val="0"/>
        <shadow val="0"/>
        <u val="none"/>
        <vertAlign val="baseline"/>
        <sz val="7"/>
        <color indexed="8"/>
        <name val="Arial"/>
        <family val="2"/>
        <charset val="1"/>
        <scheme val="none"/>
      </font>
    </dxf>
    <dxf>
      <font>
        <b val="0"/>
        <i val="0"/>
        <strike val="0"/>
        <condense val="0"/>
        <extend val="0"/>
        <outline val="0"/>
        <shadow val="0"/>
        <u val="none"/>
        <vertAlign val="baseline"/>
        <sz val="7"/>
        <color indexed="8"/>
        <name val="Arial"/>
        <family val="2"/>
        <charset val="1"/>
        <scheme val="none"/>
      </font>
    </dxf>
    <dxf>
      <font>
        <b val="0"/>
        <i val="0"/>
        <strike val="0"/>
        <condense val="0"/>
        <extend val="0"/>
        <outline val="0"/>
        <shadow val="0"/>
        <u val="none"/>
        <vertAlign val="baseline"/>
        <sz val="7"/>
        <color indexed="8"/>
        <name val="Arial"/>
        <family val="2"/>
        <charset val="1"/>
        <scheme val="none"/>
      </font>
    </dxf>
    <dxf>
      <font>
        <b val="0"/>
        <i val="0"/>
        <strike val="0"/>
        <condense val="0"/>
        <extend val="0"/>
        <outline val="0"/>
        <shadow val="0"/>
        <u val="none"/>
        <vertAlign val="baseline"/>
        <sz val="7"/>
        <color indexed="8"/>
        <name val="Arial"/>
        <family val="2"/>
        <charset val="1"/>
        <scheme val="none"/>
      </font>
    </dxf>
    <dxf>
      <font>
        <b val="0"/>
        <i val="0"/>
        <strike val="0"/>
        <condense val="0"/>
        <extend val="0"/>
        <outline val="0"/>
        <shadow val="0"/>
        <u val="none"/>
        <vertAlign val="baseline"/>
        <sz val="7"/>
        <color indexed="8"/>
        <name val="Arial"/>
        <family val="2"/>
        <charset val="1"/>
        <scheme val="none"/>
      </font>
    </dxf>
    <dxf>
      <font>
        <b val="0"/>
        <i val="0"/>
        <strike val="0"/>
        <condense val="0"/>
        <extend val="0"/>
        <outline val="0"/>
        <shadow val="0"/>
        <u val="none"/>
        <vertAlign val="baseline"/>
        <sz val="7"/>
        <color indexed="8"/>
        <name val="Arial"/>
        <family val="2"/>
        <charset val="1"/>
        <scheme val="none"/>
      </font>
    </dxf>
    <dxf>
      <font>
        <b val="0"/>
        <i val="0"/>
        <strike val="0"/>
        <condense val="0"/>
        <extend val="0"/>
        <outline val="0"/>
        <shadow val="0"/>
        <u val="none"/>
        <vertAlign val="baseline"/>
        <sz val="7"/>
        <color indexed="8"/>
        <name val="Arial"/>
        <family val="2"/>
        <charset val="1"/>
        <scheme val="none"/>
      </font>
    </dxf>
    <dxf>
      <font>
        <b val="0"/>
        <i val="0"/>
        <strike val="0"/>
        <condense val="0"/>
        <extend val="0"/>
        <outline val="0"/>
        <shadow val="0"/>
        <u val="none"/>
        <vertAlign val="baseline"/>
        <sz val="7"/>
        <color indexed="8"/>
        <name val="Arial"/>
        <family val="2"/>
        <charset val="1"/>
        <scheme val="none"/>
      </font>
    </dxf>
    <dxf>
      <font>
        <b val="0"/>
        <i val="0"/>
        <strike val="0"/>
        <condense val="0"/>
        <extend val="0"/>
        <outline val="0"/>
        <shadow val="0"/>
        <u val="none"/>
        <vertAlign val="baseline"/>
        <sz val="7"/>
        <color indexed="8"/>
        <name val="Arial"/>
        <family val="2"/>
        <charset val="1"/>
        <scheme val="none"/>
      </font>
    </dxf>
    <dxf>
      <font>
        <b val="0"/>
        <i val="0"/>
        <strike val="0"/>
        <condense val="0"/>
        <extend val="0"/>
        <outline val="0"/>
        <shadow val="0"/>
        <u val="none"/>
        <vertAlign val="baseline"/>
        <sz val="7"/>
        <color indexed="8"/>
        <name val="Arial"/>
        <family val="2"/>
        <charset val="1"/>
        <scheme val="none"/>
      </font>
    </dxf>
    <dxf>
      <font>
        <b val="0"/>
        <i val="0"/>
        <strike val="0"/>
        <condense val="0"/>
        <extend val="0"/>
        <outline val="0"/>
        <shadow val="0"/>
        <u val="none"/>
        <vertAlign val="baseline"/>
        <sz val="7"/>
        <color indexed="8"/>
        <name val="Arial"/>
        <family val="2"/>
        <charset val="1"/>
        <scheme val="none"/>
      </font>
    </dxf>
    <dxf>
      <font>
        <b val="0"/>
        <i val="0"/>
        <strike val="0"/>
        <condense val="0"/>
        <extend val="0"/>
        <outline val="0"/>
        <shadow val="0"/>
        <u val="none"/>
        <vertAlign val="baseline"/>
        <sz val="7"/>
        <color indexed="8"/>
        <name val="Arial"/>
        <family val="2"/>
        <charset val="1"/>
        <scheme val="none"/>
      </font>
    </dxf>
    <dxf>
      <font>
        <b val="0"/>
        <i val="0"/>
        <strike val="0"/>
        <condense val="0"/>
        <extend val="0"/>
        <outline val="0"/>
        <shadow val="0"/>
        <u val="none"/>
        <vertAlign val="baseline"/>
        <sz val="7"/>
        <color indexed="8"/>
        <name val="Arial"/>
        <family val="2"/>
        <charset val="1"/>
        <scheme val="none"/>
      </font>
    </dxf>
    <dxf>
      <font>
        <b val="0"/>
        <i val="0"/>
        <strike val="0"/>
        <condense val="0"/>
        <extend val="0"/>
        <outline val="0"/>
        <shadow val="0"/>
        <u val="none"/>
        <vertAlign val="baseline"/>
        <sz val="7"/>
        <color indexed="8"/>
        <name val="Arial"/>
        <family val="2"/>
        <charset val="1"/>
        <scheme val="none"/>
      </font>
    </dxf>
    <dxf>
      <font>
        <b val="0"/>
        <i val="0"/>
        <strike val="0"/>
        <condense val="0"/>
        <extend val="0"/>
        <outline val="0"/>
        <shadow val="0"/>
        <u val="none"/>
        <vertAlign val="baseline"/>
        <sz val="7"/>
        <color indexed="8"/>
        <name val="Arial"/>
        <family val="2"/>
        <charset val="1"/>
        <scheme val="none"/>
      </font>
    </dxf>
    <dxf>
      <font>
        <b val="0"/>
        <i val="0"/>
        <strike val="0"/>
        <condense val="0"/>
        <extend val="0"/>
        <outline val="0"/>
        <shadow val="0"/>
        <u val="none"/>
        <vertAlign val="baseline"/>
        <sz val="7"/>
        <color indexed="8"/>
        <name val="Arial"/>
        <family val="2"/>
        <charset val="1"/>
        <scheme val="none"/>
      </font>
    </dxf>
    <dxf>
      <font>
        <b val="0"/>
        <i val="0"/>
        <strike val="0"/>
        <condense val="0"/>
        <extend val="0"/>
        <outline val="0"/>
        <shadow val="0"/>
        <u val="none"/>
        <vertAlign val="baseline"/>
        <sz val="7"/>
        <color indexed="8"/>
        <name val="Arial"/>
        <family val="2"/>
        <charset val="1"/>
        <scheme val="none"/>
      </font>
    </dxf>
    <dxf>
      <font>
        <b val="0"/>
        <i val="0"/>
        <strike val="0"/>
        <condense val="0"/>
        <extend val="0"/>
        <outline val="0"/>
        <shadow val="0"/>
        <u val="none"/>
        <vertAlign val="baseline"/>
        <sz val="7"/>
        <color indexed="8"/>
        <name val="Arial"/>
        <family val="2"/>
        <charset val="1"/>
        <scheme val="none"/>
      </font>
    </dxf>
    <dxf>
      <font>
        <b val="0"/>
        <i val="0"/>
        <strike val="0"/>
        <condense val="0"/>
        <extend val="0"/>
        <outline val="0"/>
        <shadow val="0"/>
        <u val="none"/>
        <vertAlign val="baseline"/>
        <sz val="7"/>
        <color indexed="8"/>
        <name val="Arial"/>
        <family val="2"/>
        <charset val="1"/>
        <scheme val="none"/>
      </font>
    </dxf>
    <dxf>
      <font>
        <b val="0"/>
        <i val="0"/>
        <strike val="0"/>
        <condense val="0"/>
        <extend val="0"/>
        <outline val="0"/>
        <shadow val="0"/>
        <u val="none"/>
        <vertAlign val="baseline"/>
        <sz val="7"/>
        <color indexed="8"/>
        <name val="Arial"/>
        <family val="2"/>
        <charset val="1"/>
        <scheme val="none"/>
      </font>
    </dxf>
    <dxf>
      <font>
        <b val="0"/>
        <i val="0"/>
        <strike val="0"/>
        <condense val="0"/>
        <extend val="0"/>
        <outline val="0"/>
        <shadow val="0"/>
        <u val="none"/>
        <vertAlign val="baseline"/>
        <sz val="7"/>
        <color indexed="8"/>
        <name val="Arial"/>
        <family val="2"/>
        <charset val="1"/>
        <scheme val="none"/>
      </font>
    </dxf>
    <dxf>
      <font>
        <b val="0"/>
        <i val="0"/>
        <strike val="0"/>
        <condense val="0"/>
        <extend val="0"/>
        <outline val="0"/>
        <shadow val="0"/>
        <u val="none"/>
        <vertAlign val="baseline"/>
        <sz val="7"/>
        <color indexed="8"/>
        <name val="Arial"/>
        <family val="2"/>
        <charset val="1"/>
        <scheme val="none"/>
      </font>
    </dxf>
    <dxf>
      <font>
        <b val="0"/>
        <i val="0"/>
        <strike val="0"/>
        <condense val="0"/>
        <extend val="0"/>
        <outline val="0"/>
        <shadow val="0"/>
        <u val="none"/>
        <vertAlign val="baseline"/>
        <sz val="7"/>
        <color indexed="8"/>
        <name val="Arial"/>
        <family val="2"/>
        <charset val="1"/>
        <scheme val="none"/>
      </font>
    </dxf>
    <dxf>
      <font>
        <b val="0"/>
        <i val="0"/>
        <strike val="0"/>
        <condense val="0"/>
        <extend val="0"/>
        <outline val="0"/>
        <shadow val="0"/>
        <u val="none"/>
        <vertAlign val="baseline"/>
        <sz val="7"/>
        <color indexed="8"/>
        <name val="Arial"/>
        <family val="2"/>
        <charset val="1"/>
        <scheme val="none"/>
      </font>
    </dxf>
    <dxf>
      <font>
        <b val="0"/>
        <i val="0"/>
        <strike val="0"/>
        <condense val="0"/>
        <extend val="0"/>
        <outline val="0"/>
        <shadow val="0"/>
        <u val="none"/>
        <vertAlign val="baseline"/>
        <sz val="7"/>
        <color indexed="8"/>
        <name val="Arial"/>
        <family val="2"/>
        <charset val="1"/>
        <scheme val="none"/>
      </font>
    </dxf>
    <dxf>
      <font>
        <b val="0"/>
        <i val="0"/>
        <strike val="0"/>
        <condense val="0"/>
        <extend val="0"/>
        <outline val="0"/>
        <shadow val="0"/>
        <u val="none"/>
        <vertAlign val="baseline"/>
        <sz val="7"/>
        <color indexed="8"/>
        <name val="Arial"/>
        <family val="2"/>
        <charset val="1"/>
        <scheme val="none"/>
      </font>
    </dxf>
    <dxf>
      <font>
        <b val="0"/>
        <i val="0"/>
        <strike val="0"/>
        <condense val="0"/>
        <extend val="0"/>
        <outline val="0"/>
        <shadow val="0"/>
        <u val="none"/>
        <vertAlign val="baseline"/>
        <sz val="7"/>
        <color indexed="8"/>
        <name val="Arial"/>
        <family val="2"/>
        <charset val="1"/>
        <scheme val="none"/>
      </font>
    </dxf>
    <dxf>
      <font>
        <b val="0"/>
        <i val="0"/>
        <strike val="0"/>
        <condense val="0"/>
        <extend val="0"/>
        <outline val="0"/>
        <shadow val="0"/>
        <u val="none"/>
        <vertAlign val="baseline"/>
        <sz val="7"/>
        <color indexed="8"/>
        <name val="Arial"/>
        <family val="2"/>
        <charset val="1"/>
        <scheme val="none"/>
      </font>
    </dxf>
    <dxf>
      <font>
        <b val="0"/>
        <i val="0"/>
        <strike val="0"/>
        <condense val="0"/>
        <extend val="0"/>
        <outline val="0"/>
        <shadow val="0"/>
        <u val="none"/>
        <vertAlign val="baseline"/>
        <sz val="7"/>
        <color indexed="8"/>
        <name val="Arial"/>
        <family val="2"/>
        <charset val="1"/>
        <scheme val="none"/>
      </font>
    </dxf>
    <dxf>
      <font>
        <b val="0"/>
        <i val="0"/>
        <strike val="0"/>
        <condense val="0"/>
        <extend val="0"/>
        <outline val="0"/>
        <shadow val="0"/>
        <u val="none"/>
        <vertAlign val="baseline"/>
        <sz val="7"/>
        <color indexed="8"/>
        <name val="Arial"/>
        <family val="2"/>
        <charset val="1"/>
        <scheme val="none"/>
      </font>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indexed="8"/>
        <name val="Arial"/>
        <family val="2"/>
        <charset val="1"/>
        <scheme val="none"/>
      </font>
    </dxf>
    <dxf>
      <font>
        <b val="0"/>
        <i val="0"/>
        <strike val="0"/>
        <condense val="0"/>
        <extend val="0"/>
        <outline val="0"/>
        <shadow val="0"/>
        <u val="none"/>
        <vertAlign val="baseline"/>
        <sz val="7"/>
        <color indexed="8"/>
        <name val="Arial"/>
        <family val="2"/>
        <charset val="1"/>
        <scheme val="none"/>
      </font>
    </dxf>
    <dxf>
      <font>
        <b val="0"/>
        <i val="0"/>
        <strike val="0"/>
        <condense val="0"/>
        <extend val="0"/>
        <outline val="0"/>
        <shadow val="0"/>
        <u val="none"/>
        <vertAlign val="baseline"/>
        <sz val="7"/>
        <color indexed="8"/>
        <name val="Arial"/>
        <family val="2"/>
        <charset val="1"/>
        <scheme val="none"/>
      </font>
    </dxf>
    <dxf>
      <font>
        <b val="0"/>
        <i val="0"/>
        <strike val="0"/>
        <condense val="0"/>
        <extend val="0"/>
        <outline val="0"/>
        <shadow val="0"/>
        <u val="none"/>
        <vertAlign val="baseline"/>
        <sz val="7"/>
        <color indexed="8"/>
        <name val="Arial"/>
        <family val="2"/>
        <charset val="1"/>
        <scheme val="none"/>
      </font>
    </dxf>
    <dxf>
      <font>
        <b val="0"/>
        <i val="0"/>
        <strike val="0"/>
        <condense val="0"/>
        <extend val="0"/>
        <outline val="0"/>
        <shadow val="0"/>
        <u val="none"/>
        <vertAlign val="baseline"/>
        <sz val="7"/>
        <color indexed="8"/>
        <name val="Arial"/>
        <family val="2"/>
        <charset val="1"/>
        <scheme val="none"/>
      </font>
    </dxf>
    <dxf>
      <font>
        <b val="0"/>
        <i val="0"/>
        <strike val="0"/>
        <condense val="0"/>
        <extend val="0"/>
        <outline val="0"/>
        <shadow val="0"/>
        <u val="none"/>
        <vertAlign val="baseline"/>
        <sz val="7"/>
        <color indexed="8"/>
        <name val="Arial"/>
        <family val="2"/>
        <charset val="1"/>
        <scheme val="none"/>
      </font>
    </dxf>
    <dxf>
      <font>
        <b val="0"/>
        <i val="0"/>
        <strike val="0"/>
        <condense val="0"/>
        <extend val="0"/>
        <outline val="0"/>
        <shadow val="0"/>
        <u val="none"/>
        <vertAlign val="baseline"/>
        <sz val="7"/>
        <color indexed="8"/>
        <name val="Arial"/>
        <family val="2"/>
        <charset val="1"/>
        <scheme val="none"/>
      </font>
    </dxf>
    <dxf>
      <font>
        <b val="0"/>
        <i val="0"/>
        <strike val="0"/>
        <condense val="0"/>
        <extend val="0"/>
        <outline val="0"/>
        <shadow val="0"/>
        <u val="none"/>
        <vertAlign val="baseline"/>
        <sz val="7"/>
        <color indexed="8"/>
        <name val="Arial"/>
        <family val="2"/>
        <charset val="1"/>
        <scheme val="none"/>
      </font>
    </dxf>
    <dxf>
      <font>
        <b val="0"/>
        <i val="0"/>
        <strike val="0"/>
        <condense val="0"/>
        <extend val="0"/>
        <outline val="0"/>
        <shadow val="0"/>
        <u val="none"/>
        <vertAlign val="baseline"/>
        <sz val="7"/>
        <color indexed="8"/>
        <name val="Arial"/>
        <family val="2"/>
        <charset val="1"/>
        <scheme val="none"/>
      </font>
    </dxf>
    <dxf>
      <font>
        <b val="0"/>
        <i val="0"/>
        <strike val="0"/>
        <condense val="0"/>
        <extend val="0"/>
        <outline val="0"/>
        <shadow val="0"/>
        <u val="none"/>
        <vertAlign val="baseline"/>
        <sz val="7"/>
        <color indexed="8"/>
        <name val="Arial"/>
        <family val="2"/>
        <charset val="1"/>
        <scheme val="none"/>
      </font>
    </dxf>
    <dxf>
      <font>
        <b val="0"/>
        <i val="0"/>
        <strike val="0"/>
        <condense val="0"/>
        <extend val="0"/>
        <outline val="0"/>
        <shadow val="0"/>
        <u val="none"/>
        <vertAlign val="baseline"/>
        <sz val="7"/>
        <color indexed="8"/>
        <name val="Arial"/>
        <family val="2"/>
        <charset val="1"/>
        <scheme val="none"/>
      </font>
    </dxf>
    <dxf>
      <font>
        <b val="0"/>
        <i val="0"/>
        <strike val="0"/>
        <condense val="0"/>
        <extend val="0"/>
        <outline val="0"/>
        <shadow val="0"/>
        <u val="none"/>
        <vertAlign val="baseline"/>
        <sz val="7"/>
        <color indexed="8"/>
        <name val="Arial"/>
        <family val="2"/>
        <charset val="1"/>
        <scheme val="none"/>
      </font>
    </dxf>
    <dxf>
      <font>
        <b val="0"/>
        <i val="0"/>
        <strike val="0"/>
        <condense val="0"/>
        <extend val="0"/>
        <outline val="0"/>
        <shadow val="0"/>
        <u val="none"/>
        <vertAlign val="baseline"/>
        <sz val="7"/>
        <color indexed="8"/>
        <name val="Arial"/>
        <family val="2"/>
        <charset val="1"/>
        <scheme val="none"/>
      </font>
    </dxf>
    <dxf>
      <font>
        <b val="0"/>
        <i val="0"/>
        <strike val="0"/>
        <condense val="0"/>
        <extend val="0"/>
        <outline val="0"/>
        <shadow val="0"/>
        <u val="none"/>
        <vertAlign val="baseline"/>
        <sz val="7"/>
        <color indexed="8"/>
        <name val="Arial"/>
        <family val="2"/>
        <charset val="1"/>
        <scheme val="none"/>
      </font>
    </dxf>
    <dxf>
      <font>
        <b val="0"/>
        <i val="0"/>
        <strike val="0"/>
        <condense val="0"/>
        <extend val="0"/>
        <outline val="0"/>
        <shadow val="0"/>
        <u val="none"/>
        <vertAlign val="baseline"/>
        <sz val="7"/>
        <color indexed="8"/>
        <name val="Arial"/>
        <family val="2"/>
        <charset val="1"/>
        <scheme val="none"/>
      </font>
    </dxf>
    <dxf>
      <font>
        <b val="0"/>
        <i val="0"/>
        <strike val="0"/>
        <condense val="0"/>
        <extend val="0"/>
        <outline val="0"/>
        <shadow val="0"/>
        <u val="none"/>
        <vertAlign val="baseline"/>
        <sz val="7"/>
        <color indexed="8"/>
        <name val="Arial"/>
        <family val="2"/>
        <charset val="1"/>
        <scheme val="none"/>
      </font>
    </dxf>
    <dxf>
      <font>
        <b val="0"/>
        <i val="0"/>
        <strike val="0"/>
        <condense val="0"/>
        <extend val="0"/>
        <outline val="0"/>
        <shadow val="0"/>
        <u val="none"/>
        <vertAlign val="baseline"/>
        <sz val="7"/>
        <color indexed="8"/>
        <name val="Arial"/>
        <family val="2"/>
        <charset val="1"/>
        <scheme val="none"/>
      </font>
    </dxf>
    <dxf>
      <font>
        <b val="0"/>
        <i val="0"/>
        <strike val="0"/>
        <condense val="0"/>
        <extend val="0"/>
        <outline val="0"/>
        <shadow val="0"/>
        <u val="none"/>
        <vertAlign val="baseline"/>
        <sz val="7"/>
        <color indexed="8"/>
        <name val="Arial"/>
        <family val="2"/>
        <charset val="1"/>
        <scheme val="none"/>
      </font>
    </dxf>
    <dxf>
      <font>
        <b val="0"/>
        <i val="0"/>
        <strike val="0"/>
        <condense val="0"/>
        <extend val="0"/>
        <outline val="0"/>
        <shadow val="0"/>
        <u val="none"/>
        <vertAlign val="baseline"/>
        <sz val="7"/>
        <color indexed="8"/>
        <name val="Arial"/>
        <family val="2"/>
        <charset val="1"/>
        <scheme val="none"/>
      </font>
    </dxf>
    <dxf>
      <font>
        <b val="0"/>
        <i val="0"/>
        <strike val="0"/>
        <condense val="0"/>
        <extend val="0"/>
        <outline val="0"/>
        <shadow val="0"/>
        <u val="none"/>
        <vertAlign val="baseline"/>
        <sz val="7"/>
        <color indexed="8"/>
        <name val="Arial"/>
        <family val="2"/>
        <charset val="1"/>
        <scheme val="none"/>
      </font>
    </dxf>
    <dxf>
      <font>
        <b val="0"/>
        <i val="0"/>
        <strike val="0"/>
        <condense val="0"/>
        <extend val="0"/>
        <outline val="0"/>
        <shadow val="0"/>
        <u val="none"/>
        <vertAlign val="baseline"/>
        <sz val="7"/>
        <color indexed="8"/>
        <name val="Arial"/>
        <family val="2"/>
        <charset val="1"/>
        <scheme val="none"/>
      </font>
    </dxf>
    <dxf>
      <font>
        <b val="0"/>
        <i val="0"/>
        <strike val="0"/>
        <condense val="0"/>
        <extend val="0"/>
        <outline val="0"/>
        <shadow val="0"/>
        <u val="none"/>
        <vertAlign val="baseline"/>
        <sz val="7"/>
        <color indexed="8"/>
        <name val="Arial"/>
        <family val="2"/>
        <charset val="1"/>
        <scheme val="none"/>
      </font>
    </dxf>
    <dxf>
      <font>
        <b val="0"/>
        <i val="0"/>
        <strike val="0"/>
        <condense val="0"/>
        <extend val="0"/>
        <outline val="0"/>
        <shadow val="0"/>
        <u val="none"/>
        <vertAlign val="baseline"/>
        <sz val="7"/>
        <color indexed="8"/>
        <name val="Arial"/>
        <family val="2"/>
        <charset val="1"/>
        <scheme val="none"/>
      </font>
    </dxf>
    <dxf>
      <font>
        <b val="0"/>
        <i val="0"/>
        <strike val="0"/>
        <condense val="0"/>
        <extend val="0"/>
        <outline val="0"/>
        <shadow val="0"/>
        <u val="none"/>
        <vertAlign val="baseline"/>
        <sz val="7"/>
        <color indexed="8"/>
        <name val="Arial"/>
        <family val="2"/>
        <charset val="1"/>
        <scheme val="none"/>
      </font>
    </dxf>
    <dxf>
      <font>
        <b val="0"/>
        <i val="0"/>
        <strike val="0"/>
        <condense val="0"/>
        <extend val="0"/>
        <outline val="0"/>
        <shadow val="0"/>
        <u val="none"/>
        <vertAlign val="baseline"/>
        <sz val="7"/>
        <color indexed="8"/>
        <name val="Arial"/>
        <family val="2"/>
        <charset val="1"/>
        <scheme val="none"/>
      </font>
    </dxf>
    <dxf>
      <font>
        <b val="0"/>
        <i val="0"/>
        <strike val="0"/>
        <condense val="0"/>
        <extend val="0"/>
        <outline val="0"/>
        <shadow val="0"/>
        <u val="none"/>
        <vertAlign val="baseline"/>
        <sz val="7"/>
        <color indexed="8"/>
        <name val="Arial"/>
        <family val="2"/>
        <charset val="1"/>
        <scheme val="none"/>
      </font>
    </dxf>
    <dxf>
      <font>
        <b val="0"/>
        <i val="0"/>
        <strike val="0"/>
        <condense val="0"/>
        <extend val="0"/>
        <outline val="0"/>
        <shadow val="0"/>
        <u val="none"/>
        <vertAlign val="baseline"/>
        <sz val="7"/>
        <color indexed="8"/>
        <name val="Arial"/>
        <family val="2"/>
        <charset val="1"/>
        <scheme val="none"/>
      </font>
    </dxf>
    <dxf>
      <font>
        <b val="0"/>
        <i val="0"/>
        <strike val="0"/>
        <condense val="0"/>
        <extend val="0"/>
        <outline val="0"/>
        <shadow val="0"/>
        <u val="none"/>
        <vertAlign val="baseline"/>
        <sz val="7"/>
        <color indexed="8"/>
        <name val="Arial"/>
        <family val="2"/>
        <charset val="1"/>
        <scheme val="none"/>
      </font>
    </dxf>
    <dxf>
      <font>
        <b val="0"/>
        <i val="0"/>
        <strike val="0"/>
        <condense val="0"/>
        <extend val="0"/>
        <outline val="0"/>
        <shadow val="0"/>
        <u val="none"/>
        <vertAlign val="baseline"/>
        <sz val="7"/>
        <color indexed="8"/>
        <name val="Arial"/>
        <family val="2"/>
        <charset val="1"/>
        <scheme val="none"/>
      </font>
    </dxf>
    <dxf>
      <font>
        <b val="0"/>
        <i val="0"/>
        <strike val="0"/>
        <condense val="0"/>
        <extend val="0"/>
        <outline val="0"/>
        <shadow val="0"/>
        <u val="none"/>
        <vertAlign val="baseline"/>
        <sz val="7"/>
        <color indexed="8"/>
        <name val="Arial"/>
        <family val="2"/>
        <charset val="1"/>
        <scheme val="none"/>
      </font>
    </dxf>
    <dxf>
      <font>
        <b val="0"/>
        <i val="0"/>
        <strike val="0"/>
        <condense val="0"/>
        <extend val="0"/>
        <outline val="0"/>
        <shadow val="0"/>
        <u val="none"/>
        <vertAlign val="baseline"/>
        <sz val="7"/>
        <color indexed="8"/>
        <name val="Arial"/>
        <family val="2"/>
        <charset val="1"/>
        <scheme val="none"/>
      </font>
    </dxf>
    <dxf>
      <font>
        <b val="0"/>
        <i val="0"/>
        <strike val="0"/>
        <condense val="0"/>
        <extend val="0"/>
        <outline val="0"/>
        <shadow val="0"/>
        <u val="none"/>
        <vertAlign val="baseline"/>
        <sz val="7"/>
        <color indexed="8"/>
        <name val="Arial"/>
        <family val="2"/>
        <charset val="1"/>
        <scheme val="none"/>
      </font>
    </dxf>
    <dxf>
      <font>
        <b val="0"/>
        <i val="0"/>
        <strike val="0"/>
        <condense val="0"/>
        <extend val="0"/>
        <outline val="0"/>
        <shadow val="0"/>
        <u val="none"/>
        <vertAlign val="baseline"/>
        <sz val="7"/>
        <color indexed="8"/>
        <name val="Arial"/>
        <family val="2"/>
        <charset val="1"/>
        <scheme val="none"/>
      </font>
    </dxf>
    <dxf>
      <font>
        <b val="0"/>
        <i val="0"/>
        <strike val="0"/>
        <condense val="0"/>
        <extend val="0"/>
        <outline val="0"/>
        <shadow val="0"/>
        <u val="none"/>
        <vertAlign val="baseline"/>
        <sz val="7"/>
        <color indexed="8"/>
        <name val="Arial"/>
        <family val="2"/>
        <charset val="1"/>
        <scheme val="none"/>
      </font>
    </dxf>
    <dxf>
      <font>
        <b val="0"/>
        <i val="0"/>
        <strike val="0"/>
        <condense val="0"/>
        <extend val="0"/>
        <outline val="0"/>
        <shadow val="0"/>
        <u val="none"/>
        <vertAlign val="baseline"/>
        <sz val="7"/>
        <color indexed="8"/>
        <name val="Arial"/>
        <family val="2"/>
        <charset val="1"/>
        <scheme val="none"/>
      </font>
    </dxf>
    <dxf>
      <font>
        <b val="0"/>
        <i val="0"/>
        <strike val="0"/>
        <condense val="0"/>
        <extend val="0"/>
        <outline val="0"/>
        <shadow val="0"/>
        <u val="none"/>
        <vertAlign val="baseline"/>
        <sz val="7"/>
        <color rgb="FF000000"/>
        <name val="Arial"/>
        <family val="2"/>
        <scheme val="none"/>
      </font>
    </dxf>
    <dxf>
      <font>
        <b val="0"/>
        <i val="0"/>
        <strike val="0"/>
        <condense val="0"/>
        <extend val="0"/>
        <outline val="0"/>
        <shadow val="0"/>
        <u val="none"/>
        <vertAlign val="baseline"/>
        <sz val="7"/>
        <color rgb="FF000000"/>
        <name val="Arial"/>
        <family val="2"/>
        <scheme val="none"/>
      </font>
    </dxf>
    <dxf>
      <font>
        <b val="0"/>
        <i val="0"/>
        <strike val="0"/>
        <condense val="0"/>
        <extend val="0"/>
        <outline val="0"/>
        <shadow val="0"/>
        <u val="none"/>
        <vertAlign val="baseline"/>
        <sz val="7"/>
        <color indexed="8"/>
        <name val="Arial"/>
        <family val="2"/>
        <charset val="1"/>
        <scheme val="none"/>
      </font>
    </dxf>
    <dxf>
      <font>
        <b val="0"/>
        <i val="0"/>
        <strike val="0"/>
        <condense val="0"/>
        <extend val="0"/>
        <outline val="0"/>
        <shadow val="0"/>
        <u val="none"/>
        <vertAlign val="baseline"/>
        <sz val="7"/>
        <color indexed="8"/>
        <name val="Arial"/>
        <family val="2"/>
        <charset val="1"/>
        <scheme val="none"/>
      </font>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indexed="8"/>
        <name val="Arial"/>
        <family val="2"/>
        <charset val="1"/>
        <scheme val="none"/>
      </font>
    </dxf>
    <dxf>
      <font>
        <b val="0"/>
        <i val="0"/>
        <strike val="0"/>
        <condense val="0"/>
        <extend val="0"/>
        <outline val="0"/>
        <shadow val="0"/>
        <u val="none"/>
        <vertAlign val="baseline"/>
        <sz val="7"/>
        <color indexed="8"/>
        <name val="Arial"/>
        <family val="2"/>
        <charset val="1"/>
        <scheme val="none"/>
      </font>
    </dxf>
    <dxf>
      <font>
        <b val="0"/>
        <i val="0"/>
        <strike val="0"/>
        <condense val="0"/>
        <extend val="0"/>
        <outline val="0"/>
        <shadow val="0"/>
        <u val="none"/>
        <vertAlign val="baseline"/>
        <sz val="7"/>
        <color indexed="8"/>
        <name val="Arial"/>
        <family val="2"/>
        <charset val="1"/>
        <scheme val="none"/>
      </font>
    </dxf>
    <dxf>
      <font>
        <b val="0"/>
        <i val="0"/>
        <strike val="0"/>
        <condense val="0"/>
        <extend val="0"/>
        <outline val="0"/>
        <shadow val="0"/>
        <u val="none"/>
        <vertAlign val="baseline"/>
        <sz val="7"/>
        <color indexed="8"/>
        <name val="Arial"/>
        <family val="2"/>
        <charset val="1"/>
        <scheme val="none"/>
      </font>
    </dxf>
    <dxf>
      <font>
        <b val="0"/>
        <i val="0"/>
        <strike val="0"/>
        <condense val="0"/>
        <extend val="0"/>
        <outline val="0"/>
        <shadow val="0"/>
        <u val="none"/>
        <vertAlign val="baseline"/>
        <sz val="7"/>
        <color indexed="8"/>
        <name val="Arial"/>
        <family val="2"/>
        <charset val="1"/>
        <scheme val="none"/>
      </font>
    </dxf>
    <dxf>
      <font>
        <b val="0"/>
        <i val="0"/>
        <strike val="0"/>
        <condense val="0"/>
        <extend val="0"/>
        <outline val="0"/>
        <shadow val="0"/>
        <u val="none"/>
        <vertAlign val="baseline"/>
        <sz val="7"/>
        <color indexed="8"/>
        <name val="Arial"/>
        <family val="2"/>
        <charset val="1"/>
        <scheme val="none"/>
      </font>
    </dxf>
    <dxf>
      <font>
        <b val="0"/>
        <i val="0"/>
        <strike val="0"/>
        <condense val="0"/>
        <extend val="0"/>
        <outline val="0"/>
        <shadow val="0"/>
        <u val="none"/>
        <vertAlign val="baseline"/>
        <sz val="7"/>
        <color indexed="8"/>
        <name val="Arial"/>
        <family val="2"/>
        <charset val="1"/>
        <scheme val="none"/>
      </font>
    </dxf>
    <dxf>
      <font>
        <b val="0"/>
        <i val="0"/>
        <strike val="0"/>
        <condense val="0"/>
        <extend val="0"/>
        <outline val="0"/>
        <shadow val="0"/>
        <u val="none"/>
        <vertAlign val="baseline"/>
        <sz val="7"/>
        <color indexed="8"/>
        <name val="Arial"/>
        <family val="2"/>
        <charset val="1"/>
        <scheme val="none"/>
      </font>
    </dxf>
    <dxf>
      <font>
        <b val="0"/>
        <i val="0"/>
        <strike val="0"/>
        <condense val="0"/>
        <extend val="0"/>
        <outline val="0"/>
        <shadow val="0"/>
        <u val="none"/>
        <vertAlign val="baseline"/>
        <sz val="7"/>
        <color indexed="8"/>
        <name val="Arial"/>
        <family val="2"/>
        <charset val="1"/>
        <scheme val="none"/>
      </font>
    </dxf>
    <dxf>
      <font>
        <b val="0"/>
        <i val="0"/>
        <strike val="0"/>
        <condense val="0"/>
        <extend val="0"/>
        <outline val="0"/>
        <shadow val="0"/>
        <u val="none"/>
        <vertAlign val="baseline"/>
        <sz val="7"/>
        <color indexed="8"/>
        <name val="Arial"/>
        <family val="2"/>
        <charset val="1"/>
        <scheme val="none"/>
      </font>
    </dxf>
    <dxf>
      <font>
        <b val="0"/>
        <i val="0"/>
        <strike val="0"/>
        <condense val="0"/>
        <extend val="0"/>
        <outline val="0"/>
        <shadow val="0"/>
        <u val="none"/>
        <vertAlign val="baseline"/>
        <sz val="7"/>
        <color indexed="8"/>
        <name val="Arial"/>
        <family val="2"/>
        <charset val="1"/>
        <scheme val="none"/>
      </font>
    </dxf>
    <dxf>
      <font>
        <b val="0"/>
        <i val="0"/>
        <strike val="0"/>
        <condense val="0"/>
        <extend val="0"/>
        <outline val="0"/>
        <shadow val="0"/>
        <u val="none"/>
        <vertAlign val="baseline"/>
        <sz val="7"/>
        <color indexed="8"/>
        <name val="Arial"/>
        <family val="2"/>
        <charset val="1"/>
        <scheme val="none"/>
      </font>
    </dxf>
    <dxf>
      <font>
        <b val="0"/>
        <i val="0"/>
        <strike val="0"/>
        <condense val="0"/>
        <extend val="0"/>
        <outline val="0"/>
        <shadow val="0"/>
        <u val="none"/>
        <vertAlign val="baseline"/>
        <sz val="7"/>
        <color indexed="8"/>
        <name val="Arial"/>
        <family val="2"/>
        <charset val="1"/>
        <scheme val="none"/>
      </font>
    </dxf>
    <dxf>
      <font>
        <b val="0"/>
        <i val="0"/>
        <strike val="0"/>
        <condense val="0"/>
        <extend val="0"/>
        <outline val="0"/>
        <shadow val="0"/>
        <u val="none"/>
        <vertAlign val="baseline"/>
        <sz val="7"/>
        <color indexed="8"/>
        <name val="Arial"/>
        <family val="2"/>
        <charset val="1"/>
        <scheme val="none"/>
      </font>
    </dxf>
    <dxf>
      <font>
        <b val="0"/>
        <i val="0"/>
        <strike val="0"/>
        <condense val="0"/>
        <extend val="0"/>
        <outline val="0"/>
        <shadow val="0"/>
        <u val="none"/>
        <vertAlign val="baseline"/>
        <sz val="7"/>
        <color indexed="8"/>
        <name val="Arial"/>
        <family val="2"/>
        <charset val="1"/>
        <scheme val="none"/>
      </font>
    </dxf>
    <dxf>
      <font>
        <b val="0"/>
        <i val="0"/>
        <strike val="0"/>
        <condense val="0"/>
        <extend val="0"/>
        <outline val="0"/>
        <shadow val="0"/>
        <u val="none"/>
        <vertAlign val="baseline"/>
        <sz val="7"/>
        <color indexed="8"/>
        <name val="Arial"/>
        <family val="2"/>
        <charset val="1"/>
        <scheme val="none"/>
      </font>
    </dxf>
    <dxf>
      <font>
        <b val="0"/>
        <i val="0"/>
        <strike val="0"/>
        <condense val="0"/>
        <extend val="0"/>
        <outline val="0"/>
        <shadow val="0"/>
        <u val="none"/>
        <vertAlign val="baseline"/>
        <sz val="7"/>
        <color indexed="8"/>
        <name val="Arial"/>
        <family val="2"/>
        <charset val="1"/>
        <scheme val="none"/>
      </font>
    </dxf>
    <dxf>
      <font>
        <b val="0"/>
        <i val="0"/>
        <strike val="0"/>
        <condense val="0"/>
        <extend val="0"/>
        <outline val="0"/>
        <shadow val="0"/>
        <u val="none"/>
        <vertAlign val="baseline"/>
        <sz val="7"/>
        <color indexed="8"/>
        <name val="Arial"/>
        <family val="2"/>
        <charset val="1"/>
        <scheme val="none"/>
      </font>
    </dxf>
    <dxf>
      <font>
        <b val="0"/>
        <i val="0"/>
        <strike val="0"/>
        <condense val="0"/>
        <extend val="0"/>
        <outline val="0"/>
        <shadow val="0"/>
        <u val="none"/>
        <vertAlign val="baseline"/>
        <sz val="7"/>
        <color indexed="8"/>
        <name val="Arial"/>
        <family val="2"/>
        <charset val="1"/>
        <scheme val="none"/>
      </font>
    </dxf>
    <dxf>
      <font>
        <b val="0"/>
        <i val="0"/>
        <strike val="0"/>
        <condense val="0"/>
        <extend val="0"/>
        <outline val="0"/>
        <shadow val="0"/>
        <u val="none"/>
        <vertAlign val="baseline"/>
        <sz val="7"/>
        <color indexed="8"/>
        <name val="Arial"/>
        <family val="2"/>
        <charset val="1"/>
        <scheme val="none"/>
      </font>
    </dxf>
    <dxf>
      <font>
        <b val="0"/>
        <i val="0"/>
        <strike val="0"/>
        <condense val="0"/>
        <extend val="0"/>
        <outline val="0"/>
        <shadow val="0"/>
        <u val="none"/>
        <vertAlign val="baseline"/>
        <sz val="7"/>
        <color indexed="8"/>
        <name val="Arial"/>
        <family val="2"/>
        <charset val="1"/>
        <scheme val="none"/>
      </font>
    </dxf>
    <dxf>
      <font>
        <b val="0"/>
        <i val="0"/>
        <strike val="0"/>
        <condense val="0"/>
        <extend val="0"/>
        <outline val="0"/>
        <shadow val="0"/>
        <u val="none"/>
        <vertAlign val="baseline"/>
        <sz val="7"/>
        <color indexed="8"/>
        <name val="Arial"/>
        <family val="2"/>
        <charset val="1"/>
        <scheme val="none"/>
      </font>
    </dxf>
    <dxf>
      <font>
        <b val="0"/>
        <i val="0"/>
        <strike val="0"/>
        <condense val="0"/>
        <extend val="0"/>
        <outline val="0"/>
        <shadow val="0"/>
        <u val="none"/>
        <vertAlign val="baseline"/>
        <sz val="7"/>
        <color indexed="8"/>
        <name val="Arial"/>
        <family val="2"/>
        <charset val="1"/>
        <scheme val="none"/>
      </font>
    </dxf>
    <dxf>
      <font>
        <b val="0"/>
        <i val="0"/>
        <strike val="0"/>
        <condense val="0"/>
        <extend val="0"/>
        <outline val="0"/>
        <shadow val="0"/>
        <u val="none"/>
        <vertAlign val="baseline"/>
        <sz val="7"/>
        <color indexed="8"/>
        <name val="Arial"/>
        <family val="2"/>
        <charset val="1"/>
        <scheme val="none"/>
      </font>
    </dxf>
    <dxf>
      <font>
        <b val="0"/>
        <i val="0"/>
        <strike val="0"/>
        <condense val="0"/>
        <extend val="0"/>
        <outline val="0"/>
        <shadow val="0"/>
        <u val="none"/>
        <vertAlign val="baseline"/>
        <sz val="7"/>
        <color indexed="8"/>
        <name val="Arial"/>
        <family val="2"/>
        <charset val="1"/>
        <scheme val="none"/>
      </font>
    </dxf>
    <dxf>
      <font>
        <b val="0"/>
        <i val="0"/>
        <strike val="0"/>
        <condense val="0"/>
        <extend val="0"/>
        <outline val="0"/>
        <shadow val="0"/>
        <u val="none"/>
        <vertAlign val="baseline"/>
        <sz val="7"/>
        <color indexed="8"/>
        <name val="Arial"/>
        <family val="2"/>
        <charset val="1"/>
        <scheme val="none"/>
      </font>
    </dxf>
    <dxf>
      <font>
        <b val="0"/>
        <i val="0"/>
        <strike val="0"/>
        <condense val="0"/>
        <extend val="0"/>
        <outline val="0"/>
        <shadow val="0"/>
        <u val="none"/>
        <vertAlign val="baseline"/>
        <sz val="7"/>
        <color indexed="8"/>
        <name val="Arial"/>
        <family val="2"/>
        <charset val="1"/>
        <scheme val="none"/>
      </font>
    </dxf>
    <dxf>
      <font>
        <b val="0"/>
        <i val="0"/>
        <strike val="0"/>
        <condense val="0"/>
        <extend val="0"/>
        <outline val="0"/>
        <shadow val="0"/>
        <u val="none"/>
        <vertAlign val="baseline"/>
        <sz val="7"/>
        <color indexed="8"/>
        <name val="Arial"/>
        <family val="2"/>
        <charset val="1"/>
        <scheme val="none"/>
      </font>
    </dxf>
    <dxf>
      <font>
        <b val="0"/>
        <i val="0"/>
        <strike val="0"/>
        <condense val="0"/>
        <extend val="0"/>
        <outline val="0"/>
        <shadow val="0"/>
        <u val="none"/>
        <vertAlign val="baseline"/>
        <sz val="7"/>
        <color indexed="8"/>
        <name val="Arial"/>
        <family val="2"/>
        <charset val="1"/>
        <scheme val="none"/>
      </font>
    </dxf>
    <dxf>
      <font>
        <b val="0"/>
        <i val="0"/>
        <strike val="0"/>
        <condense val="0"/>
        <extend val="0"/>
        <outline val="0"/>
        <shadow val="0"/>
        <u val="none"/>
        <vertAlign val="baseline"/>
        <sz val="7"/>
        <color indexed="8"/>
        <name val="Arial"/>
        <family val="2"/>
        <charset val="1"/>
        <scheme val="none"/>
      </font>
    </dxf>
    <dxf>
      <font>
        <b val="0"/>
        <i val="0"/>
        <strike val="0"/>
        <condense val="0"/>
        <extend val="0"/>
        <outline val="0"/>
        <shadow val="0"/>
        <u val="none"/>
        <vertAlign val="baseline"/>
        <sz val="7"/>
        <color indexed="8"/>
        <name val="Arial"/>
        <family val="2"/>
        <charset val="1"/>
        <scheme val="none"/>
      </font>
    </dxf>
    <dxf>
      <font>
        <b val="0"/>
        <i val="0"/>
        <strike val="0"/>
        <condense val="0"/>
        <extend val="0"/>
        <outline val="0"/>
        <shadow val="0"/>
        <u val="none"/>
        <vertAlign val="baseline"/>
        <sz val="7"/>
        <color indexed="8"/>
        <name val="Arial"/>
        <family val="2"/>
        <charset val="1"/>
        <scheme val="none"/>
      </font>
    </dxf>
    <dxf>
      <font>
        <b val="0"/>
        <i val="0"/>
        <strike val="0"/>
        <condense val="0"/>
        <extend val="0"/>
        <outline val="0"/>
        <shadow val="0"/>
        <u val="none"/>
        <vertAlign val="baseline"/>
        <sz val="7"/>
        <color indexed="8"/>
        <name val="Arial"/>
        <family val="2"/>
        <charset val="1"/>
        <scheme val="none"/>
      </font>
    </dxf>
    <dxf>
      <font>
        <b val="0"/>
        <i val="0"/>
        <strike val="0"/>
        <condense val="0"/>
        <extend val="0"/>
        <outline val="0"/>
        <shadow val="0"/>
        <u val="none"/>
        <vertAlign val="baseline"/>
        <sz val="7"/>
        <color indexed="8"/>
        <name val="Arial"/>
        <family val="2"/>
        <charset val="1"/>
        <scheme val="none"/>
      </font>
    </dxf>
    <dxf>
      <font>
        <b val="0"/>
        <i val="0"/>
        <strike val="0"/>
        <condense val="0"/>
        <extend val="0"/>
        <outline val="0"/>
        <shadow val="0"/>
        <u val="none"/>
        <vertAlign val="baseline"/>
        <sz val="7"/>
        <color indexed="8"/>
        <name val="Arial"/>
        <family val="2"/>
        <charset val="1"/>
        <scheme val="none"/>
      </font>
    </dxf>
    <dxf>
      <font>
        <b val="0"/>
        <i val="0"/>
        <strike val="0"/>
        <condense val="0"/>
        <extend val="0"/>
        <outline val="0"/>
        <shadow val="0"/>
        <u val="none"/>
        <vertAlign val="baseline"/>
        <sz val="7"/>
        <color indexed="8"/>
        <name val="Arial"/>
        <family val="2"/>
        <charset val="1"/>
        <scheme val="none"/>
      </font>
    </dxf>
    <dxf>
      <font>
        <b val="0"/>
        <i val="0"/>
        <strike val="0"/>
        <condense val="0"/>
        <extend val="0"/>
        <outline val="0"/>
        <shadow val="0"/>
        <u val="none"/>
        <vertAlign val="baseline"/>
        <sz val="7"/>
        <color indexed="8"/>
        <name val="Arial"/>
        <family val="2"/>
        <charset val="1"/>
        <scheme val="none"/>
      </font>
    </dxf>
    <dxf>
      <font>
        <b val="0"/>
        <i val="0"/>
        <strike val="0"/>
        <condense val="0"/>
        <extend val="0"/>
        <outline val="0"/>
        <shadow val="0"/>
        <u val="none"/>
        <vertAlign val="baseline"/>
        <sz val="7"/>
        <color indexed="8"/>
        <name val="Arial"/>
        <family val="2"/>
        <charset val="1"/>
        <scheme val="none"/>
      </font>
    </dxf>
    <dxf>
      <font>
        <b val="0"/>
        <i val="0"/>
        <strike val="0"/>
        <condense val="0"/>
        <extend val="0"/>
        <outline val="0"/>
        <shadow val="0"/>
        <u val="none"/>
        <vertAlign val="baseline"/>
        <sz val="7"/>
        <color indexed="8"/>
        <name val="Arial"/>
        <family val="2"/>
        <charset val="1"/>
        <scheme val="none"/>
      </font>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indexed="8"/>
        <name val="Arial"/>
        <family val="2"/>
        <charset val="1"/>
        <scheme val="none"/>
      </font>
    </dxf>
    <dxf>
      <font>
        <b val="0"/>
        <i val="0"/>
        <strike val="0"/>
        <condense val="0"/>
        <extend val="0"/>
        <outline val="0"/>
        <shadow val="0"/>
        <u val="none"/>
        <vertAlign val="baseline"/>
        <sz val="7"/>
        <color indexed="8"/>
        <name val="Arial"/>
        <family val="2"/>
        <charset val="1"/>
        <scheme val="none"/>
      </font>
    </dxf>
    <dxf>
      <font>
        <b val="0"/>
        <i val="0"/>
        <strike val="0"/>
        <condense val="0"/>
        <extend val="0"/>
        <outline val="0"/>
        <shadow val="0"/>
        <u val="none"/>
        <vertAlign val="baseline"/>
        <sz val="7"/>
        <color indexed="8"/>
        <name val="Arial"/>
        <family val="2"/>
        <charset val="1"/>
        <scheme val="none"/>
      </font>
    </dxf>
    <dxf>
      <font>
        <b val="0"/>
        <i val="0"/>
        <strike val="0"/>
        <condense val="0"/>
        <extend val="0"/>
        <outline val="0"/>
        <shadow val="0"/>
        <u val="none"/>
        <vertAlign val="baseline"/>
        <sz val="7"/>
        <color indexed="8"/>
        <name val="Arial"/>
        <family val="2"/>
        <charset val="1"/>
        <scheme val="none"/>
      </font>
    </dxf>
    <dxf>
      <font>
        <b val="0"/>
        <i val="0"/>
        <strike val="0"/>
        <condense val="0"/>
        <extend val="0"/>
        <outline val="0"/>
        <shadow val="0"/>
        <u val="none"/>
        <vertAlign val="baseline"/>
        <sz val="7"/>
        <color indexed="8"/>
        <name val="Arial"/>
        <family val="2"/>
        <charset val="1"/>
        <scheme val="none"/>
      </font>
    </dxf>
    <dxf>
      <font>
        <b val="0"/>
        <i val="0"/>
        <strike val="0"/>
        <condense val="0"/>
        <extend val="0"/>
        <outline val="0"/>
        <shadow val="0"/>
        <u val="none"/>
        <vertAlign val="baseline"/>
        <sz val="7"/>
        <color indexed="8"/>
        <name val="Arial"/>
        <family val="2"/>
        <charset val="1"/>
        <scheme val="none"/>
      </font>
    </dxf>
    <dxf>
      <font>
        <b val="0"/>
        <i val="0"/>
        <strike val="0"/>
        <condense val="0"/>
        <extend val="0"/>
        <outline val="0"/>
        <shadow val="0"/>
        <u val="none"/>
        <vertAlign val="baseline"/>
        <sz val="7"/>
        <color indexed="8"/>
        <name val="Arial"/>
        <family val="2"/>
        <charset val="1"/>
        <scheme val="none"/>
      </font>
    </dxf>
    <dxf>
      <font>
        <b val="0"/>
        <i val="0"/>
        <strike val="0"/>
        <condense val="0"/>
        <extend val="0"/>
        <outline val="0"/>
        <shadow val="0"/>
        <u val="none"/>
        <vertAlign val="baseline"/>
        <sz val="7"/>
        <color indexed="8"/>
        <name val="Arial"/>
        <family val="2"/>
        <charset val="1"/>
        <scheme val="none"/>
      </font>
    </dxf>
    <dxf>
      <font>
        <b val="0"/>
        <i val="0"/>
        <strike val="0"/>
        <condense val="0"/>
        <extend val="0"/>
        <outline val="0"/>
        <shadow val="0"/>
        <u val="none"/>
        <vertAlign val="baseline"/>
        <sz val="7"/>
        <color indexed="8"/>
        <name val="Arial"/>
        <family val="2"/>
        <charset val="1"/>
        <scheme val="none"/>
      </font>
    </dxf>
    <dxf>
      <font>
        <b val="0"/>
        <i val="0"/>
        <strike val="0"/>
        <condense val="0"/>
        <extend val="0"/>
        <outline val="0"/>
        <shadow val="0"/>
        <u val="none"/>
        <vertAlign val="baseline"/>
        <sz val="7"/>
        <color indexed="8"/>
        <name val="Arial"/>
        <family val="2"/>
        <charset val="1"/>
        <scheme val="none"/>
      </font>
    </dxf>
    <dxf>
      <font>
        <b val="0"/>
        <i val="0"/>
        <strike val="0"/>
        <condense val="0"/>
        <extend val="0"/>
        <outline val="0"/>
        <shadow val="0"/>
        <u val="none"/>
        <vertAlign val="baseline"/>
        <sz val="7"/>
        <color indexed="8"/>
        <name val="Arial"/>
        <family val="2"/>
        <charset val="1"/>
        <scheme val="none"/>
      </font>
    </dxf>
    <dxf>
      <font>
        <b val="0"/>
        <i val="0"/>
        <strike val="0"/>
        <condense val="0"/>
        <extend val="0"/>
        <outline val="0"/>
        <shadow val="0"/>
        <u val="none"/>
        <vertAlign val="baseline"/>
        <sz val="7"/>
        <color indexed="8"/>
        <name val="Arial"/>
        <family val="2"/>
        <charset val="1"/>
        <scheme val="none"/>
      </font>
    </dxf>
    <dxf>
      <font>
        <b val="0"/>
        <i val="0"/>
        <strike val="0"/>
        <condense val="0"/>
        <extend val="0"/>
        <outline val="0"/>
        <shadow val="0"/>
        <u val="none"/>
        <vertAlign val="baseline"/>
        <sz val="7"/>
        <color indexed="8"/>
        <name val="Arial"/>
        <family val="2"/>
        <charset val="1"/>
        <scheme val="none"/>
      </font>
    </dxf>
    <dxf>
      <font>
        <b val="0"/>
        <i val="0"/>
        <strike val="0"/>
        <condense val="0"/>
        <extend val="0"/>
        <outline val="0"/>
        <shadow val="0"/>
        <u val="none"/>
        <vertAlign val="baseline"/>
        <sz val="7"/>
        <color indexed="8"/>
        <name val="Arial"/>
        <family val="2"/>
        <charset val="1"/>
        <scheme val="none"/>
      </font>
    </dxf>
    <dxf>
      <font>
        <b val="0"/>
        <i val="0"/>
        <strike val="0"/>
        <condense val="0"/>
        <extend val="0"/>
        <outline val="0"/>
        <shadow val="0"/>
        <u val="none"/>
        <vertAlign val="baseline"/>
        <sz val="7"/>
        <color indexed="8"/>
        <name val="Arial"/>
        <family val="2"/>
        <charset val="1"/>
        <scheme val="none"/>
      </font>
    </dxf>
    <dxf>
      <font>
        <b val="0"/>
        <i val="0"/>
        <strike val="0"/>
        <condense val="0"/>
        <extend val="0"/>
        <outline val="0"/>
        <shadow val="0"/>
        <u val="none"/>
        <vertAlign val="baseline"/>
        <sz val="7"/>
        <color indexed="8"/>
        <name val="Arial"/>
        <family val="2"/>
        <charset val="1"/>
        <scheme val="none"/>
      </font>
    </dxf>
    <dxf>
      <font>
        <b val="0"/>
        <i val="0"/>
        <strike val="0"/>
        <condense val="0"/>
        <extend val="0"/>
        <outline val="0"/>
        <shadow val="0"/>
        <u val="none"/>
        <vertAlign val="baseline"/>
        <sz val="7"/>
        <color indexed="8"/>
        <name val="Arial"/>
        <family val="2"/>
        <charset val="1"/>
        <scheme val="none"/>
      </font>
    </dxf>
    <dxf>
      <font>
        <b val="0"/>
        <i val="0"/>
        <strike val="0"/>
        <condense val="0"/>
        <extend val="0"/>
        <outline val="0"/>
        <shadow val="0"/>
        <u val="none"/>
        <vertAlign val="baseline"/>
        <sz val="7"/>
        <color indexed="8"/>
        <name val="Arial"/>
        <family val="2"/>
        <charset val="1"/>
        <scheme val="none"/>
      </font>
    </dxf>
    <dxf>
      <font>
        <b val="0"/>
        <i val="0"/>
        <strike val="0"/>
        <condense val="0"/>
        <extend val="0"/>
        <outline val="0"/>
        <shadow val="0"/>
        <u val="none"/>
        <vertAlign val="baseline"/>
        <sz val="7"/>
        <color indexed="8"/>
        <name val="Arial"/>
        <family val="2"/>
        <charset val="1"/>
        <scheme val="none"/>
      </font>
    </dxf>
    <dxf>
      <font>
        <b val="0"/>
        <i val="0"/>
        <strike val="0"/>
        <condense val="0"/>
        <extend val="0"/>
        <outline val="0"/>
        <shadow val="0"/>
        <u val="none"/>
        <vertAlign val="baseline"/>
        <sz val="7"/>
        <color indexed="8"/>
        <name val="Arial"/>
        <family val="2"/>
        <charset val="1"/>
        <scheme val="none"/>
      </font>
    </dxf>
    <dxf>
      <font>
        <b val="0"/>
        <i val="0"/>
        <strike val="0"/>
        <condense val="0"/>
        <extend val="0"/>
        <outline val="0"/>
        <shadow val="0"/>
        <u val="none"/>
        <vertAlign val="baseline"/>
        <sz val="7"/>
        <color indexed="8"/>
        <name val="Arial"/>
        <family val="2"/>
        <charset val="1"/>
        <scheme val="none"/>
      </font>
    </dxf>
    <dxf>
      <font>
        <b val="0"/>
        <i val="0"/>
        <strike val="0"/>
        <condense val="0"/>
        <extend val="0"/>
        <outline val="0"/>
        <shadow val="0"/>
        <u val="none"/>
        <vertAlign val="baseline"/>
        <sz val="7"/>
        <color indexed="8"/>
        <name val="Arial"/>
        <family val="2"/>
        <charset val="1"/>
        <scheme val="none"/>
      </font>
    </dxf>
    <dxf>
      <font>
        <b val="0"/>
        <i val="0"/>
        <strike val="0"/>
        <condense val="0"/>
        <extend val="0"/>
        <outline val="0"/>
        <shadow val="0"/>
        <u val="none"/>
        <vertAlign val="baseline"/>
        <sz val="7"/>
        <color indexed="8"/>
        <name val="Arial"/>
        <family val="2"/>
        <charset val="1"/>
        <scheme val="none"/>
      </font>
    </dxf>
    <dxf>
      <font>
        <b val="0"/>
        <i val="0"/>
        <strike val="0"/>
        <condense val="0"/>
        <extend val="0"/>
        <outline val="0"/>
        <shadow val="0"/>
        <u val="none"/>
        <vertAlign val="baseline"/>
        <sz val="7"/>
        <color indexed="8"/>
        <name val="Arial"/>
        <family val="2"/>
        <charset val="1"/>
        <scheme val="none"/>
      </font>
    </dxf>
    <dxf>
      <font>
        <b val="0"/>
        <i val="0"/>
        <strike val="0"/>
        <condense val="0"/>
        <extend val="0"/>
        <outline val="0"/>
        <shadow val="0"/>
        <u val="none"/>
        <vertAlign val="baseline"/>
        <sz val="7"/>
        <color indexed="8"/>
        <name val="Arial"/>
        <family val="2"/>
        <charset val="1"/>
        <scheme val="none"/>
      </font>
    </dxf>
    <dxf>
      <font>
        <b val="0"/>
        <i val="0"/>
        <strike val="0"/>
        <condense val="0"/>
        <extend val="0"/>
        <outline val="0"/>
        <shadow val="0"/>
        <u val="none"/>
        <vertAlign val="baseline"/>
        <sz val="7"/>
        <color indexed="8"/>
        <name val="Arial"/>
        <family val="2"/>
        <charset val="1"/>
        <scheme val="none"/>
      </font>
    </dxf>
    <dxf>
      <font>
        <b val="0"/>
        <i val="0"/>
        <strike val="0"/>
        <condense val="0"/>
        <extend val="0"/>
        <outline val="0"/>
        <shadow val="0"/>
        <u val="none"/>
        <vertAlign val="baseline"/>
        <sz val="7"/>
        <color indexed="8"/>
        <name val="Arial"/>
        <family val="2"/>
        <charset val="1"/>
        <scheme val="none"/>
      </font>
    </dxf>
    <dxf>
      <font>
        <b val="0"/>
        <i val="0"/>
        <strike val="0"/>
        <condense val="0"/>
        <extend val="0"/>
        <outline val="0"/>
        <shadow val="0"/>
        <u val="none"/>
        <vertAlign val="baseline"/>
        <sz val="7"/>
        <color indexed="8"/>
        <name val="Arial"/>
        <family val="2"/>
        <charset val="1"/>
        <scheme val="none"/>
      </font>
    </dxf>
    <dxf>
      <font>
        <b val="0"/>
        <i val="0"/>
        <strike val="0"/>
        <condense val="0"/>
        <extend val="0"/>
        <outline val="0"/>
        <shadow val="0"/>
        <u val="none"/>
        <vertAlign val="baseline"/>
        <sz val="7"/>
        <color indexed="8"/>
        <name val="Arial"/>
        <family val="2"/>
        <charset val="1"/>
        <scheme val="none"/>
      </font>
    </dxf>
    <dxf>
      <font>
        <b val="0"/>
        <i val="0"/>
        <strike val="0"/>
        <condense val="0"/>
        <extend val="0"/>
        <outline val="0"/>
        <shadow val="0"/>
        <u val="none"/>
        <vertAlign val="baseline"/>
        <sz val="7"/>
        <color indexed="8"/>
        <name val="Arial"/>
        <family val="2"/>
        <charset val="1"/>
        <scheme val="none"/>
      </font>
    </dxf>
    <dxf>
      <font>
        <b val="0"/>
        <i val="0"/>
        <strike val="0"/>
        <condense val="0"/>
        <extend val="0"/>
        <outline val="0"/>
        <shadow val="0"/>
        <u val="none"/>
        <vertAlign val="baseline"/>
        <sz val="7"/>
        <color indexed="8"/>
        <name val="Arial"/>
        <family val="2"/>
        <charset val="1"/>
        <scheme val="none"/>
      </font>
    </dxf>
    <dxf>
      <font>
        <b val="0"/>
        <i val="0"/>
        <strike val="0"/>
        <condense val="0"/>
        <extend val="0"/>
        <outline val="0"/>
        <shadow val="0"/>
        <u val="none"/>
        <vertAlign val="baseline"/>
        <sz val="7"/>
        <color indexed="8"/>
        <name val="Arial"/>
        <family val="2"/>
        <charset val="1"/>
        <scheme val="none"/>
      </font>
    </dxf>
    <dxf>
      <font>
        <b val="0"/>
        <i val="0"/>
        <strike val="0"/>
        <condense val="0"/>
        <extend val="0"/>
        <outline val="0"/>
        <shadow val="0"/>
        <u val="none"/>
        <vertAlign val="baseline"/>
        <sz val="7"/>
        <color indexed="8"/>
        <name val="Arial"/>
        <family val="2"/>
        <charset val="1"/>
        <scheme val="none"/>
      </font>
    </dxf>
    <dxf>
      <font>
        <b val="0"/>
        <i val="0"/>
        <strike val="0"/>
        <condense val="0"/>
        <extend val="0"/>
        <outline val="0"/>
        <shadow val="0"/>
        <u val="none"/>
        <vertAlign val="baseline"/>
        <sz val="7"/>
        <color indexed="8"/>
        <name val="Arial"/>
        <family val="2"/>
        <charset val="1"/>
        <scheme val="none"/>
      </font>
    </dxf>
    <dxf>
      <font>
        <b val="0"/>
        <i val="0"/>
        <strike val="0"/>
        <condense val="0"/>
        <extend val="0"/>
        <outline val="0"/>
        <shadow val="0"/>
        <u val="none"/>
        <vertAlign val="baseline"/>
        <sz val="7"/>
        <color indexed="8"/>
        <name val="Arial"/>
        <family val="2"/>
        <charset val="1"/>
        <scheme val="none"/>
      </font>
    </dxf>
    <dxf>
      <font>
        <b val="0"/>
        <i val="0"/>
        <strike val="0"/>
        <condense val="0"/>
        <extend val="0"/>
        <outline val="0"/>
        <shadow val="0"/>
        <u val="none"/>
        <vertAlign val="baseline"/>
        <sz val="7"/>
        <color indexed="8"/>
        <name val="Arial"/>
        <family val="2"/>
        <charset val="1"/>
        <scheme val="none"/>
      </font>
    </dxf>
    <dxf>
      <font>
        <b val="0"/>
        <i val="0"/>
        <strike val="0"/>
        <condense val="0"/>
        <extend val="0"/>
        <outline val="0"/>
        <shadow val="0"/>
        <u val="none"/>
        <vertAlign val="baseline"/>
        <sz val="7"/>
        <color indexed="8"/>
        <name val="Arial"/>
        <family val="2"/>
        <charset val="1"/>
        <scheme val="none"/>
      </font>
    </dxf>
    <dxf>
      <font>
        <b val="0"/>
        <i val="0"/>
        <strike val="0"/>
        <condense val="0"/>
        <extend val="0"/>
        <outline val="0"/>
        <shadow val="0"/>
        <u val="none"/>
        <vertAlign val="baseline"/>
        <sz val="7"/>
        <color indexed="8"/>
        <name val="Arial"/>
        <family val="2"/>
        <charset val="1"/>
        <scheme val="none"/>
      </font>
    </dxf>
    <dxf>
      <font>
        <b val="0"/>
        <i val="0"/>
        <strike val="0"/>
        <condense val="0"/>
        <extend val="0"/>
        <outline val="0"/>
        <shadow val="0"/>
        <u val="none"/>
        <vertAlign val="baseline"/>
        <sz val="7"/>
        <color indexed="8"/>
        <name val="Arial"/>
        <family val="2"/>
        <charset val="1"/>
        <scheme val="none"/>
      </font>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7"/>
        <color indexed="8"/>
        <name val="Arial"/>
        <family val="2"/>
        <charset val="1"/>
        <scheme val="none"/>
      </font>
    </dxf>
    <dxf>
      <font>
        <b val="0"/>
        <i val="0"/>
        <strike val="0"/>
        <condense val="0"/>
        <extend val="0"/>
        <outline val="0"/>
        <shadow val="0"/>
        <u val="none"/>
        <vertAlign val="baseline"/>
        <sz val="7"/>
        <color indexed="8"/>
        <name val="Arial"/>
        <family val="2"/>
        <charset val="1"/>
        <scheme val="none"/>
      </font>
    </dxf>
    <dxf>
      <font>
        <b val="0"/>
        <i val="0"/>
        <strike val="0"/>
        <condense val="0"/>
        <extend val="0"/>
        <outline val="0"/>
        <shadow val="0"/>
        <u val="none"/>
        <vertAlign val="baseline"/>
        <sz val="7"/>
        <color indexed="8"/>
        <name val="Arial"/>
        <family val="2"/>
        <charset val="1"/>
        <scheme val="none"/>
      </font>
    </dxf>
    <dxf>
      <font>
        <b val="0"/>
        <i val="0"/>
        <strike val="0"/>
        <condense val="0"/>
        <extend val="0"/>
        <outline val="0"/>
        <shadow val="0"/>
        <u val="none"/>
        <vertAlign val="baseline"/>
        <sz val="7"/>
        <color indexed="8"/>
        <name val="Arial"/>
        <family val="2"/>
        <charset val="1"/>
        <scheme val="none"/>
      </font>
    </dxf>
    <dxf>
      <font>
        <b val="0"/>
        <i val="0"/>
        <strike val="0"/>
        <condense val="0"/>
        <extend val="0"/>
        <outline val="0"/>
        <shadow val="0"/>
        <u val="none"/>
        <vertAlign val="baseline"/>
        <sz val="7"/>
        <color indexed="8"/>
        <name val="Arial"/>
        <family val="2"/>
        <charset val="1"/>
        <scheme val="none"/>
      </font>
    </dxf>
    <dxf>
      <font>
        <b val="0"/>
        <i val="0"/>
        <strike val="0"/>
        <condense val="0"/>
        <extend val="0"/>
        <outline val="0"/>
        <shadow val="0"/>
        <u val="none"/>
        <vertAlign val="baseline"/>
        <sz val="7"/>
        <color indexed="8"/>
        <name val="Arial"/>
        <family val="2"/>
        <charset val="1"/>
        <scheme val="none"/>
      </font>
    </dxf>
    <dxf>
      <font>
        <b val="0"/>
        <i val="0"/>
        <strike val="0"/>
        <condense val="0"/>
        <extend val="0"/>
        <outline val="0"/>
        <shadow val="0"/>
        <u val="none"/>
        <vertAlign val="baseline"/>
        <sz val="7"/>
        <color indexed="8"/>
        <name val="Arial"/>
        <family val="2"/>
        <charset val="1"/>
        <scheme val="none"/>
      </font>
    </dxf>
    <dxf>
      <font>
        <b val="0"/>
        <i val="0"/>
        <strike val="0"/>
        <condense val="0"/>
        <extend val="0"/>
        <outline val="0"/>
        <shadow val="0"/>
        <u val="none"/>
        <vertAlign val="baseline"/>
        <sz val="7"/>
        <color indexed="8"/>
        <name val="Arial"/>
        <family val="2"/>
        <charset val="1"/>
        <scheme val="none"/>
      </font>
    </dxf>
    <dxf>
      <font>
        <b val="0"/>
        <i val="0"/>
        <strike val="0"/>
        <condense val="0"/>
        <extend val="0"/>
        <outline val="0"/>
        <shadow val="0"/>
        <u val="none"/>
        <vertAlign val="baseline"/>
        <sz val="7"/>
        <color indexed="8"/>
        <name val="Arial"/>
        <family val="2"/>
        <charset val="1"/>
        <scheme val="none"/>
      </font>
    </dxf>
    <dxf>
      <font>
        <b val="0"/>
        <i val="0"/>
        <strike val="0"/>
        <condense val="0"/>
        <extend val="0"/>
        <outline val="0"/>
        <shadow val="0"/>
        <u val="none"/>
        <vertAlign val="baseline"/>
        <sz val="7"/>
        <color indexed="8"/>
        <name val="Arial"/>
        <family val="2"/>
        <charset val="1"/>
        <scheme val="none"/>
      </font>
    </dxf>
    <dxf>
      <font>
        <b val="0"/>
        <i val="0"/>
        <strike val="0"/>
        <condense val="0"/>
        <extend val="0"/>
        <outline val="0"/>
        <shadow val="0"/>
        <u val="none"/>
        <vertAlign val="baseline"/>
        <sz val="7"/>
        <color indexed="8"/>
        <name val="Arial"/>
        <family val="2"/>
        <charset val="1"/>
        <scheme val="none"/>
      </font>
    </dxf>
    <dxf>
      <font>
        <b val="0"/>
        <i val="0"/>
        <strike val="0"/>
        <condense val="0"/>
        <extend val="0"/>
        <outline val="0"/>
        <shadow val="0"/>
        <u val="none"/>
        <vertAlign val="baseline"/>
        <sz val="7"/>
        <color indexed="8"/>
        <name val="Arial"/>
        <family val="2"/>
        <scheme val="none"/>
      </font>
      <numFmt numFmtId="0" formatCode="General"/>
    </dxf>
    <dxf>
      <font>
        <b val="0"/>
        <i val="0"/>
        <strike val="0"/>
        <condense val="0"/>
        <extend val="0"/>
        <outline val="0"/>
        <shadow val="0"/>
        <u val="none"/>
        <vertAlign val="baseline"/>
        <sz val="7"/>
        <color indexed="8"/>
        <name val="Arial"/>
        <family val="2"/>
        <charset val="1"/>
        <scheme val="none"/>
      </font>
      <fill>
        <patternFill patternType="none">
          <fgColor indexed="64"/>
          <bgColor indexed="65"/>
        </patternFill>
      </fill>
    </dxf>
    <dxf>
      <font>
        <b val="0"/>
        <i val="0"/>
        <strike val="0"/>
        <condense val="0"/>
        <extend val="0"/>
        <outline val="0"/>
        <shadow val="0"/>
        <u val="none"/>
        <vertAlign val="baseline"/>
        <sz val="7"/>
        <color indexed="8"/>
        <name val="Arial"/>
        <family val="2"/>
        <charset val="1"/>
        <scheme val="none"/>
      </font>
    </dxf>
    <dxf>
      <font>
        <b val="0"/>
        <i val="0"/>
        <strike val="0"/>
        <condense val="0"/>
        <extend val="0"/>
        <outline val="0"/>
        <shadow val="0"/>
        <u val="none"/>
        <vertAlign val="baseline"/>
        <sz val="7"/>
        <color indexed="8"/>
        <name val="Arial"/>
        <family val="2"/>
        <scheme val="none"/>
      </font>
    </dxf>
    <dxf>
      <font>
        <b val="0"/>
        <i val="0"/>
        <strike val="0"/>
        <condense val="0"/>
        <extend val="0"/>
        <outline val="0"/>
        <shadow val="0"/>
        <u val="none"/>
        <vertAlign val="baseline"/>
        <sz val="7"/>
        <color indexed="8"/>
        <name val="Arial"/>
        <family val="2"/>
        <scheme val="none"/>
      </font>
    </dxf>
    <dxf>
      <font>
        <b val="0"/>
        <i val="0"/>
        <strike val="0"/>
        <condense val="0"/>
        <extend val="0"/>
        <outline val="0"/>
        <shadow val="0"/>
        <u val="none"/>
        <vertAlign val="baseline"/>
        <sz val="7"/>
        <color indexed="8"/>
        <name val="Arial"/>
        <family val="2"/>
        <scheme val="none"/>
      </font>
    </dxf>
    <dxf>
      <font>
        <b val="0"/>
        <i val="0"/>
        <strike val="0"/>
        <condense val="0"/>
        <extend val="0"/>
        <outline val="0"/>
        <shadow val="0"/>
        <u val="none"/>
        <vertAlign val="baseline"/>
        <sz val="7"/>
        <color indexed="8"/>
        <name val="Arial"/>
        <family val="2"/>
        <scheme val="none"/>
      </font>
    </dxf>
    <dxf>
      <font>
        <b val="0"/>
        <i val="0"/>
        <strike val="0"/>
        <condense val="0"/>
        <extend val="0"/>
        <outline val="0"/>
        <shadow val="0"/>
        <u val="none"/>
        <vertAlign val="baseline"/>
        <sz val="7"/>
        <color indexed="8"/>
        <name val="Arial"/>
        <family val="2"/>
        <scheme val="none"/>
      </font>
    </dxf>
    <dxf>
      <font>
        <b val="0"/>
        <i val="0"/>
        <strike val="0"/>
        <condense val="0"/>
        <extend val="0"/>
        <outline val="0"/>
        <shadow val="0"/>
        <u val="none"/>
        <vertAlign val="baseline"/>
        <sz val="7"/>
        <color indexed="8"/>
        <name val="Arial"/>
        <family val="2"/>
        <scheme val="none"/>
      </font>
    </dxf>
    <dxf>
      <font>
        <b val="0"/>
        <i val="0"/>
        <strike val="0"/>
        <condense val="0"/>
        <extend val="0"/>
        <outline val="0"/>
        <shadow val="0"/>
        <u val="none"/>
        <vertAlign val="baseline"/>
        <sz val="7"/>
        <color indexed="8"/>
        <name val="Arial"/>
        <family val="2"/>
        <scheme val="none"/>
      </font>
    </dxf>
    <dxf>
      <font>
        <b val="0"/>
        <i val="0"/>
        <strike val="0"/>
        <condense val="0"/>
        <extend val="0"/>
        <outline val="0"/>
        <shadow val="0"/>
        <u val="none"/>
        <vertAlign val="baseline"/>
        <sz val="7"/>
        <color indexed="8"/>
        <name val="Arial"/>
        <family val="2"/>
        <scheme val="none"/>
      </font>
    </dxf>
    <dxf>
      <font>
        <b val="0"/>
        <i val="0"/>
        <strike val="0"/>
        <condense val="0"/>
        <extend val="0"/>
        <outline val="0"/>
        <shadow val="0"/>
        <u val="none"/>
        <vertAlign val="baseline"/>
        <sz val="7"/>
        <color indexed="8"/>
        <name val="Arial"/>
        <family val="2"/>
        <scheme val="none"/>
      </font>
    </dxf>
    <dxf>
      <font>
        <b val="0"/>
        <i val="0"/>
        <strike val="0"/>
        <condense val="0"/>
        <extend val="0"/>
        <outline val="0"/>
        <shadow val="0"/>
        <u val="none"/>
        <vertAlign val="baseline"/>
        <sz val="7"/>
        <color indexed="8"/>
        <name val="Arial"/>
        <family val="2"/>
        <scheme val="none"/>
      </font>
    </dxf>
    <dxf>
      <font>
        <b val="0"/>
        <i val="0"/>
        <strike val="0"/>
        <condense val="0"/>
        <extend val="0"/>
        <outline val="0"/>
        <shadow val="0"/>
        <u val="none"/>
        <vertAlign val="baseline"/>
        <sz val="7"/>
        <color indexed="8"/>
        <name val="Arial"/>
        <family val="2"/>
        <scheme val="none"/>
      </font>
    </dxf>
    <dxf>
      <font>
        <b val="0"/>
        <i val="0"/>
        <strike val="0"/>
        <condense val="0"/>
        <extend val="0"/>
        <outline val="0"/>
        <shadow val="0"/>
        <u val="none"/>
        <vertAlign val="baseline"/>
        <sz val="7"/>
        <color indexed="8"/>
        <name val="Arial"/>
        <family val="2"/>
        <scheme val="none"/>
      </font>
    </dxf>
    <dxf>
      <font>
        <b val="0"/>
        <i val="0"/>
        <strike val="0"/>
        <condense val="0"/>
        <extend val="0"/>
        <outline val="0"/>
        <shadow val="0"/>
        <u val="none"/>
        <vertAlign val="baseline"/>
        <sz val="7"/>
        <color indexed="8"/>
        <name val="Arial"/>
        <family val="2"/>
        <scheme val="none"/>
      </font>
    </dxf>
    <dxf>
      <font>
        <b val="0"/>
        <i val="0"/>
        <strike val="0"/>
        <condense val="0"/>
        <extend val="0"/>
        <outline val="0"/>
        <shadow val="0"/>
        <u val="none"/>
        <vertAlign val="baseline"/>
        <sz val="7"/>
        <color indexed="8"/>
        <name val="Arial"/>
        <family val="2"/>
        <scheme val="none"/>
      </font>
    </dxf>
    <dxf>
      <font>
        <b val="0"/>
        <i val="0"/>
        <strike val="0"/>
        <condense val="0"/>
        <extend val="0"/>
        <outline val="0"/>
        <shadow val="0"/>
        <u val="none"/>
        <vertAlign val="baseline"/>
        <sz val="7"/>
        <color indexed="8"/>
        <name val="Arial"/>
        <family val="2"/>
        <scheme val="none"/>
      </font>
    </dxf>
    <dxf>
      <font>
        <b val="0"/>
        <i val="0"/>
        <strike val="0"/>
        <condense val="0"/>
        <extend val="0"/>
        <outline val="0"/>
        <shadow val="0"/>
        <u val="none"/>
        <vertAlign val="baseline"/>
        <sz val="7"/>
        <color indexed="8"/>
        <name val="Arial"/>
        <family val="2"/>
        <scheme val="none"/>
      </font>
    </dxf>
    <dxf>
      <font>
        <b val="0"/>
        <i val="0"/>
        <strike val="0"/>
        <condense val="0"/>
        <extend val="0"/>
        <outline val="0"/>
        <shadow val="0"/>
        <u val="none"/>
        <vertAlign val="baseline"/>
        <sz val="7"/>
        <color indexed="8"/>
        <name val="Arial"/>
        <family val="2"/>
        <scheme val="none"/>
      </font>
    </dxf>
    <dxf>
      <font>
        <b val="0"/>
        <i val="0"/>
        <strike val="0"/>
        <condense val="0"/>
        <extend val="0"/>
        <outline val="0"/>
        <shadow val="0"/>
        <u val="none"/>
        <vertAlign val="baseline"/>
        <sz val="7"/>
        <color indexed="8"/>
        <name val="Arial"/>
        <family val="2"/>
        <scheme val="none"/>
      </font>
    </dxf>
    <dxf>
      <font>
        <b val="0"/>
        <i val="0"/>
        <strike val="0"/>
        <condense val="0"/>
        <extend val="0"/>
        <outline val="0"/>
        <shadow val="0"/>
        <u val="none"/>
        <vertAlign val="baseline"/>
        <sz val="7"/>
        <color indexed="8"/>
        <name val="Arial"/>
        <family val="2"/>
        <scheme val="none"/>
      </font>
    </dxf>
    <dxf>
      <font>
        <b val="0"/>
        <i val="0"/>
        <strike val="0"/>
        <condense val="0"/>
        <extend val="0"/>
        <outline val="0"/>
        <shadow val="0"/>
        <u val="none"/>
        <vertAlign val="baseline"/>
        <sz val="7"/>
        <color indexed="8"/>
        <name val="Arial"/>
        <family val="2"/>
        <scheme val="none"/>
      </font>
    </dxf>
    <dxf>
      <font>
        <b val="0"/>
        <i val="0"/>
        <strike val="0"/>
        <condense val="0"/>
        <extend val="0"/>
        <outline val="0"/>
        <shadow val="0"/>
        <u val="none"/>
        <vertAlign val="baseline"/>
        <sz val="7"/>
        <color indexed="8"/>
        <name val="Arial"/>
        <family val="2"/>
        <scheme val="none"/>
      </font>
    </dxf>
    <dxf>
      <font>
        <b val="0"/>
        <i val="0"/>
        <strike val="0"/>
        <condense val="0"/>
        <extend val="0"/>
        <outline val="0"/>
        <shadow val="0"/>
        <u val="none"/>
        <vertAlign val="baseline"/>
        <sz val="7"/>
        <color indexed="8"/>
        <name val="Arial"/>
        <family val="2"/>
        <scheme val="none"/>
      </font>
    </dxf>
    <dxf>
      <font>
        <b val="0"/>
        <i val="0"/>
        <strike val="0"/>
        <condense val="0"/>
        <extend val="0"/>
        <outline val="0"/>
        <shadow val="0"/>
        <u val="none"/>
        <vertAlign val="baseline"/>
        <sz val="7"/>
        <color indexed="8"/>
        <name val="Arial"/>
        <family val="2"/>
        <charset val="1"/>
        <scheme val="none"/>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D9D9D9"/>
      <rgbColor rgb="00000080"/>
      <rgbColor rgb="00FF00FF"/>
      <rgbColor rgb="00FFFF00"/>
      <rgbColor rgb="0000FFFF"/>
      <rgbColor rgb="00800080"/>
      <rgbColor rgb="00800000"/>
      <rgbColor rgb="00008080"/>
      <rgbColor rgb="000000FF"/>
      <rgbColor rgb="0000CCFF"/>
      <rgbColor rgb="00E6E6FF"/>
      <rgbColor rgb="00E6E6E6"/>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561975</xdr:colOff>
      <xdr:row>57</xdr:row>
      <xdr:rowOff>38100</xdr:rowOff>
    </xdr:from>
    <xdr:to>
      <xdr:col>12</xdr:col>
      <xdr:colOff>66675</xdr:colOff>
      <xdr:row>91</xdr:row>
      <xdr:rowOff>95250</xdr:rowOff>
    </xdr:to>
    <xdr:pic>
      <xdr:nvPicPr>
        <xdr:cNvPr id="2" name="Kuva 1" descr="2018-08-01.png (396Ã516)">
          <a:extLst>
            <a:ext uri="{FF2B5EF4-FFF2-40B4-BE49-F238E27FC236}">
              <a16:creationId xmlns:a16="http://schemas.microsoft.com/office/drawing/2014/main" id="{0E90C4D5-1B4E-47DA-AB07-F7B35E789F0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96225" y="180975"/>
          <a:ext cx="3771900" cy="4914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70CE206-F21F-42BF-920D-E3BCFCD5F1F3}" name="Taulukko1" displayName="Taulukko1" ref="A2:X102" totalsRowShown="0" headerRowDxfId="938" dataDxfId="937" headerRowCellStyle="Excel Built-in Normal 2" dataCellStyle="Excel Built-in Normal 2">
  <autoFilter ref="A2:X102" xr:uid="{DE440111-9797-470C-B37F-F2DE2DF650CD}"/>
  <sortState xmlns:xlrd2="http://schemas.microsoft.com/office/spreadsheetml/2017/richdata2" ref="A3:X102">
    <sortCondition ref="B2:B102"/>
  </sortState>
  <tableColumns count="24">
    <tableColumn id="1" xr3:uid="{D826FDB2-DCCE-41C7-8C0F-C00E66CF50F3}" name="Main Race" dataDxfId="936" dataCellStyle="Excel Built-in Normal 2"/>
    <tableColumn id="2" xr3:uid="{0121838C-2185-41B0-8680-1D51938D8C26}" name="Race" dataDxfId="935" dataCellStyle="Excel Built-in Normal 2"/>
    <tableColumn id="3" xr3:uid="{A321821B-13D9-47A2-9678-BFBAB9A2C4A5}" name="Co" dataDxfId="934" dataCellStyle="Excel Built-in Normal 2"/>
    <tableColumn id="4" xr3:uid="{1B8E3ACA-487B-4198-80FB-BDBE51AB1A5E}" name="Ag" dataDxfId="933" dataCellStyle="Excel Built-in Normal 2"/>
    <tableColumn id="5" xr3:uid="{2A6DF91A-BC59-416A-A7B6-2536AA590880}" name="Sd" dataDxfId="932" dataCellStyle="Excel Built-in Normal 2"/>
    <tableColumn id="6" xr3:uid="{883CAA47-1053-4E01-B806-0123E704DB67}" name="Me" dataDxfId="931" dataCellStyle="Excel Built-in Normal 2"/>
    <tableColumn id="7" xr3:uid="{990E6346-F2C7-475B-BBFD-D130554D6CA4}" name="Re" dataDxfId="930" dataCellStyle="Excel Built-in Normal 2"/>
    <tableColumn id="8" xr3:uid="{F329CF6D-DD6D-4150-B11B-B79958ACEE26}" name="St" dataDxfId="929" dataCellStyle="Excel Built-in Normal 2"/>
    <tableColumn id="9" xr3:uid="{A7107A41-CDF4-4171-B1CF-A38CB3A75AA4}" name="Qu" dataDxfId="928" dataCellStyle="Excel Built-in Normal 2"/>
    <tableColumn id="10" xr3:uid="{49C44F74-B879-4296-BDB4-85697B3BF24D}" name="Pr" dataDxfId="927" dataCellStyle="Excel Built-in Normal 2"/>
    <tableColumn id="11" xr3:uid="{33C41507-A03B-4B9F-AD5E-14CF3DC077B3}" name="Em" dataDxfId="926" dataCellStyle="Excel Built-in Normal 2"/>
    <tableColumn id="12" xr3:uid="{37BCA176-63B9-4BF8-841C-7DCF12AE7CF6}" name="In" dataDxfId="925" dataCellStyle="Excel Built-in Normal 2"/>
    <tableColumn id="13" xr3:uid="{3AF04416-ED02-4C7C-93A2-54477A73BBDC}" name="Ess" dataDxfId="924" dataCellStyle="Excel Built-in Normal 2"/>
    <tableColumn id="14" xr3:uid="{8DA03B4C-34E4-49BE-8859-C39303D8C79B}" name="Chan" dataDxfId="923" dataCellStyle="Excel Built-in Normal 2"/>
    <tableColumn id="15" xr3:uid="{47443DFC-D06C-45D6-873E-FE437BB1F2DB}" name="Ment" dataDxfId="922" dataCellStyle="Excel Built-in Normal 2"/>
    <tableColumn id="16" xr3:uid="{22DF0DC2-CC00-41B7-A3B1-B92E1BBFCE77}" name="Pois" dataDxfId="921" dataCellStyle="Excel Built-in Normal 2"/>
    <tableColumn id="17" xr3:uid="{2212207D-8BFE-4923-AF18-4E96D1FEFAFB}" name="Dis" dataDxfId="920" dataCellStyle="Excel Built-in Normal 2"/>
    <tableColumn id="18" xr3:uid="{32212F07-D10F-4FE1-AF7E-D63C17AE8854}" name="Soul D" dataDxfId="919" dataCellStyle="Excel Built-in Normal 2"/>
    <tableColumn id="19" xr3:uid="{235A2163-429A-480B-969E-55ED80D45C2C}" name="Bcgr" dataDxfId="918" dataCellStyle="Excel Built-in Normal 2"/>
    <tableColumn id="20" xr3:uid="{BC9905BD-A575-4E44-87AB-D60639E0F681}" name="RecX" dataDxfId="917" dataCellStyle="Excel Built-in Normal 2"/>
    <tableColumn id="21" xr3:uid="{35051568-EBD8-42A4-83FF-10475C31980E}" name="Talent Points" dataDxfId="916" dataCellStyle="Excel Built-in Normal 2"/>
    <tableColumn id="22" xr3:uid="{2844E083-703D-4A68-A245-97974E871082}" name="Tot. Stat Points" dataDxfId="915" dataCellStyle="Excel Built-in Normal 2">
      <calculatedColumnFormula>SUM(C3:L3)</calculatedColumnFormula>
    </tableColumn>
    <tableColumn id="26" xr3:uid="{6904B612-73F2-44F6-8378-AF6D351A562E}" name="Weight allowance bonus" dataDxfId="914" dataCellStyle="Excel Built-in Normal 2"/>
    <tableColumn id="25" xr3:uid="{013DF87E-06ED-4FC7-AC77-EDD0221CE677}" name="Main Race2" dataDxfId="913" dataCellStyle="Excel Built-in Normal 2">
      <calculatedColumnFormula>Taulukko1[[#This Row],[Main Race]]</calculatedColumnFormula>
    </tableColumn>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CE14F791-A1AA-4E8B-A9AE-EA4AC38EE7CB}" name="Taulukko17" displayName="Taulukko17" ref="AJ180:EH184" totalsRowShown="0" headerRowDxfId="166" dataDxfId="165" headerRowCellStyle="Excel Built-in Normal" dataCellStyle="Excel Built-in Normal">
  <autoFilter ref="AJ180:EH184" xr:uid="{A30C78FA-B5D1-4A47-AA16-7CCA5CC8D3CB}"/>
  <tableColumns count="103">
    <tableColumn id="1" xr3:uid="{50A9DF0E-A96C-4CEE-A81B-490F5EE9B36C}" name="SKIN" dataDxfId="164" dataCellStyle="Excel Built-in Normal 2"/>
    <tableColumn id="2" xr3:uid="{E4601EBA-184A-442B-B1D9-8425E86F1508}" name="Dragonborn"/>
    <tableColumn id="3" xr3:uid="{DBEE6062-C1D4-4475-BE95-55D56720B693}" name="Drow"/>
    <tableColumn id="4" xr3:uid="{068FC204-0F22-42DE-944B-A5A9A1A28E4C}" name="Drow2"/>
    <tableColumn id="5" xr3:uid="{7187F14F-B805-4194-80F4-BFE66E34A913}" name="Dwarf"/>
    <tableColumn id="6" xr3:uid="{A58E72A7-8837-4EED-854B-657260BD3594}" name="Dwarf3"/>
    <tableColumn id="7" xr3:uid="{637E714F-BDC6-4219-8D8A-6EF8DFD84BAB}" name="Dwarf4"/>
    <tableColumn id="8" xr3:uid="{4134E23F-D911-4514-8DDA-9DFF84CF2203}" name="Elf"/>
    <tableColumn id="9" xr3:uid="{AC0035D0-B4A4-431B-8758-AFC552D9FC6A}" name="Elf5"/>
    <tableColumn id="10" xr3:uid="{C8C7496B-EF9D-46BF-8855-7F48BD826846}" name="Elf6"/>
    <tableColumn id="11" xr3:uid="{D532DFD1-51B7-46B5-A538-90E21EC491A1}" name="Elf7"/>
    <tableColumn id="12" xr3:uid="{5D8DE2CA-FBC9-4EC2-AB81-9525FC1D47BC}" name="Elf8"/>
    <tableColumn id="13" xr3:uid="{4DC7A7F2-6484-4BD6-BD0E-3FF2F6A05985}" name="Elf9"/>
    <tableColumn id="14" xr3:uid="{400BA96D-E9DF-4EB3-9A0C-7A2B73585D02}" name="Gnome"/>
    <tableColumn id="15" xr3:uid="{E8022C7C-ABBF-4BD7-B20A-932497C079A6}" name="Gnome10"/>
    <tableColumn id="16" xr3:uid="{C88CFF9E-BE64-4CC0-ACB2-A94525D82B7E}" name="Gnome11"/>
    <tableColumn id="17" xr3:uid="{D0530E2B-0E86-4DFB-9372-4F39B1A136D0}" name="Halfling"/>
    <tableColumn id="18" xr3:uid="{254BEAB4-4064-4A15-B662-323D70B4C1DF}" name="Halfling12"/>
    <tableColumn id="19" xr3:uid="{FED93317-2975-40CF-99F2-0058E107F03F}" name="Halfling13"/>
    <tableColumn id="20" xr3:uid="{E7E1681D-6D97-43FF-BA73-459F1766A096}" name="Human"/>
    <tableColumn id="21" xr3:uid="{251B056C-288F-4A67-8C70-7D14B3454BE0}" name="Human14"/>
    <tableColumn id="22" xr3:uid="{8AD9DBE0-E78A-4576-9E03-0237540BC140}" name="Human15"/>
    <tableColumn id="23" xr3:uid="{752C3FDE-7EC0-44B1-A6D1-DA947A94FA59}" name="Human16"/>
    <tableColumn id="24" xr3:uid="{F462F913-CAE9-42C9-9519-3A7D6A30AFC8}" name="Human17"/>
    <tableColumn id="25" xr3:uid="{9B5D3CDC-E885-4B20-B9BB-F0D411B5B11B}" name="Human18"/>
    <tableColumn id="26" xr3:uid="{6D89C26C-C7E6-436D-A585-A56CC85B907C}" name="Human19"/>
    <tableColumn id="27" xr3:uid="{FC7220BF-A9D8-4018-8C5C-A8BB28A065A5}" name="Human20"/>
    <tableColumn id="28" xr3:uid="{BED6C4CF-6C19-4583-BADA-80EE9CD70C0E}" name="Human21"/>
    <tableColumn id="29" xr3:uid="{76D7CEF6-2710-425D-BE03-7798AB04F4F7}" name="Human22"/>
    <tableColumn id="30" xr3:uid="{228D656C-86F2-472A-8436-40720356AE30}" name="Human23"/>
    <tableColumn id="31" xr3:uid="{2DFA4208-C1DE-4A01-9DE3-BC5C3DC6242F}" name="Human24"/>
    <tableColumn id="32" xr3:uid="{A4929290-DF7D-45ED-880C-28748BDAF102}" name="Human25"/>
    <tableColumn id="33" xr3:uid="{458B7C36-1B6F-43C6-A7C7-71C10C1BE351}" name="Human26"/>
    <tableColumn id="34" xr3:uid="{82063148-1A0F-4350-B3CF-330E3453808C}" name="Human27"/>
    <tableColumn id="35" xr3:uid="{26DC7012-9047-4F29-B232-1B7D7CB0DD68}" name="Human28"/>
    <tableColumn id="36" xr3:uid="{94E8AD12-E324-4979-B81A-58838376445D}" name="Human29"/>
    <tableColumn id="37" xr3:uid="{5DE8FD2B-D741-48DE-ACB9-310ED47CF404}" name="Human30"/>
    <tableColumn id="38" xr3:uid="{ED28C9D2-CAAD-423A-8C80-B2C579C4605E}" name="Orc"/>
    <tableColumn id="39" xr3:uid="{99BCB9B2-9967-4A2E-B9F9-A67D678CC20B}" name="Orc31"/>
    <tableColumn id="40" xr3:uid="{E102AC6A-4729-4E53-8443-27F020F6257E}" name="Arhunerim" dataDxfId="163" dataCellStyle="Excel Built-in Normal"/>
    <tableColumn id="41" xr3:uid="{6357958D-E59D-4FEB-9BD1-443B5A413A5C}" name="Arhunerim32" dataDxfId="162" dataCellStyle="Excel Built-in Normal"/>
    <tableColumn id="42" xr3:uid="{01EA88C0-B7E1-4176-A581-4700A8BB508C}" name="Common man"/>
    <tableColumn id="43" xr3:uid="{1EA02B6A-1F33-44D2-BA20-F91C60B93E89}" name="Common man33" dataDxfId="161" dataCellStyle="Excel Built-in Normal"/>
    <tableColumn id="44" xr3:uid="{60208FBC-9E46-460F-8F97-2492A1D13FDB}" name="High Men" dataDxfId="160" dataCellStyle="Excel Built-in Normal"/>
    <tableColumn id="45" xr3:uid="{981AC947-6B1D-40B7-9F69-D313A3DA541F}" name="High Men34"/>
    <tableColumn id="46" xr3:uid="{1F0B3496-10D6-45CD-80D7-99601E5C964E}" name="High Men35"/>
    <tableColumn id="47" xr3:uid="{0A6AB40C-26C6-4A6F-B11D-4510AFC0EC91}" name="High Men36"/>
    <tableColumn id="48" xr3:uid="{4C54737B-E3E4-462E-8750-5080B7C8EC46}" name="High Men37"/>
    <tableColumn id="49" xr3:uid="{E233D3BE-F5D9-447A-B2AF-2A29AC0117B8}" name="Corsair"/>
    <tableColumn id="50" xr3:uid="{9484B15B-5A8B-418D-ADDD-3707B5D56452}" name="High Men38" dataDxfId="159" dataCellStyle="Excel Built-in Normal"/>
    <tableColumn id="51" xr3:uid="{F35AB011-020B-4827-B6F9-3A994E019514}" name="High Men39" dataDxfId="158" dataCellStyle="Excel Built-in Normal"/>
    <tableColumn id="52" xr3:uid="{C5115F40-9D2D-404A-932A-ECB6E5524FDC}" name="High Men40" dataDxfId="157" dataCellStyle="Excel Built-in Normal"/>
    <tableColumn id="53" xr3:uid="{4054982F-B9EE-4C14-BBDD-6AAD9BBE37B2}" name="Dwarf41"/>
    <tableColumn id="103" xr3:uid="{E63FEA24-03EE-4846-A07A-AC097C624149}" name="Lossedel"/>
    <tableColumn id="54" xr3:uid="{05244EAC-75E5-4621-9DDF-FB7377B47935}" name="Noldo"/>
    <tableColumn id="55" xr3:uid="{6707A1EB-207E-41E4-B088-8B189E7AFF1A}" name="Silvan"/>
    <tableColumn id="56" xr3:uid="{B3E24203-5BAC-42CC-A888-955EF452B15F}" name="Sinda"/>
    <tableColumn id="57" xr3:uid="{3CAA93A1-FDF1-4485-8D14-0B3491BED7A9}" name="Half Elf"/>
    <tableColumn id="58" xr3:uid="{41060F88-9EEC-47F7-9DAD-91D5A9E6B8CF}" name="Eriedain"/>
    <tableColumn id="59" xr3:uid="{699C21D5-AE98-4BA7-A7E5-E56D4ED911DF}" name="Bear tribes"/>
    <tableColumn id="60" xr3:uid="{B1E774BE-5FDC-4BCD-B052-FFE33658C898}" name="Eriedain42"/>
    <tableColumn id="61" xr3:uid="{8FBFB0D2-929C-4B7D-94C1-0C7D61D6EED6}" name="Eriedain43"/>
    <tableColumn id="62" xr3:uid="{35E4F390-A237-4549-B51F-0A526C102554}" name="Eriedain44"/>
    <tableColumn id="63" xr3:uid="{2F567CDC-523B-4AC0-9E73-8E40925649A9}" name="Eriedain45"/>
    <tableColumn id="64" xr3:uid="{6C501439-E769-4FA5-A129-9E876953DDE9}" name="Eriedain46"/>
    <tableColumn id="65" xr3:uid="{FD05DE75-93DC-43DF-92C5-E316D61CE2AB}" name="Eriedain47"/>
    <tableColumn id="66" xr3:uid="{46A2F308-B995-4183-A537-AB3823E1F6B5}" name="Eriedain48"/>
    <tableColumn id="67" xr3:uid="{76808E79-2B06-4E70-99EE-030F8B12F8FF}" name="Eriedain49" dataDxfId="156" dataCellStyle="Excel Built-in Normal"/>
    <tableColumn id="68" xr3:uid="{26C4AA94-25C8-4B3B-9088-A247ABAB55AA}" name="Haradrim, N"/>
    <tableColumn id="69" xr3:uid="{D366B652-8D0F-48D7-A0CB-24D93B410402}" name="Haradrim, S"/>
    <tableColumn id="70" xr3:uid="{2C21F5F9-6FD6-4AEE-B002-D5C3A94FB771}" name="Hobbit"/>
    <tableColumn id="71" xr3:uid="{738943C1-F5E5-4D4A-8F2E-1AC1F872B179}" name="Hobbit50"/>
    <tableColumn id="72" xr3:uid="{2BCC170E-0F10-4454-8B40-CB773403DF92}" name="Hobbit51"/>
    <tableColumn id="73" xr3:uid="{25CDCCDC-CE01-4D43-96F8-223DEF57262F}" name="Lossoth"/>
    <tableColumn id="74" xr3:uid="{C3F655A5-D82B-4675-A704-C3AF12DD9F44}" name="Lossoth52"/>
    <tableColumn id="75" xr3:uid="{3C9B03E5-09BA-4C28-A6C9-9317E4E69CEC}" name="Lossoth53"/>
    <tableColumn id="76" xr3:uid="{04575AD3-9FE2-48B0-A5CC-F37162E0B42C}" name="Lossoth54"/>
    <tableColumn id="77" xr3:uid="{7DA73DD3-2BB7-4C2F-AEB9-E53FA6D592D7}" name="Talatherim"/>
    <tableColumn id="78" xr3:uid="{04171097-0EB1-488E-865E-2F503A54A005}" name="Talatherim55"/>
    <tableColumn id="79" xr3:uid="{A334E2BA-26ED-46AF-97BB-F6D148DAC4D8}" name="Talatherim56"/>
    <tableColumn id="80" xr3:uid="{7D2E94D0-5521-4CC8-B0E6-910A88977E66}" name="Talatherim57"/>
    <tableColumn id="81" xr3:uid="{101A5D81-E032-41D6-9AAF-5A35205D1D13}" name="Talatherim58" dataDxfId="155" dataCellStyle="Excel Built-in Normal"/>
    <tableColumn id="82" xr3:uid="{446F9D87-20FB-4959-9E9C-75822AC36F89}" name="Talatherim59"/>
    <tableColumn id="83" xr3:uid="{EC40FECA-B1F5-47CB-9B8B-D1DDDD52FE6A}" name="Talatherim60"/>
    <tableColumn id="84" xr3:uid="{CE19EA67-A719-49B2-842B-FC7F2AB1F787}" name="Talatherim61"/>
    <tableColumn id="85" xr3:uid="{DCE0F63B-27CE-4DC0-BFEA-EFAA0BE636A7}" name="Talatherim62"/>
    <tableColumn id="86" xr3:uid="{54853315-2263-4930-AD58-41DA3C488F9D}" name="Chey"/>
    <tableColumn id="87" xr3:uid="{EA4F8456-5FE3-43B6-8629-C18EDF20854B}" name="Womaw"/>
    <tableColumn id="88" xr3:uid="{63D086F7-F48D-44CB-8F02-D127028246D8}" name="Urd"/>
    <tableColumn id="89" xr3:uid="{F7A532D7-356B-409F-9281-BA8A11355782}" name="Umli"/>
    <tableColumn id="90" xr3:uid="{FF7C6B42-830B-4AE9-88B7-B04520AC4709}" name="Woses"/>
    <tableColumn id="91" xr3:uid="{0D82B347-42E4-4082-A81E-6C7246A0EBEB}" name="Common Orc"/>
    <tableColumn id="92" xr3:uid="{007697EA-C400-481F-9067-7E48CBCF56F0}" name="Uruk-Hai"/>
    <tableColumn id="93" xr3:uid="{AA37A459-F7CF-4C80-8FD8-0117C273620D}" name="Half Orcs"/>
    <tableColumn id="94" xr3:uid="{FEC5F18A-3E66-4CA3-A7A7-8CAD3A11790B}" name="Trolls" dataDxfId="154" dataCellStyle="Excel Built-in Normal"/>
    <tableColumn id="95" xr3:uid="{95BB7780-739F-4619-B959-DFD6D296C425}" name="Trolls63" dataDxfId="153" dataCellStyle="Excel Built-in Normal"/>
    <tableColumn id="96" xr3:uid="{943CE4E6-AC53-4D2E-B0EE-A7A009FBFA03}" name="Trolls64" dataDxfId="152" dataCellStyle="Excel Built-in Normal"/>
    <tableColumn id="97" xr3:uid="{93BFA3E3-2AD8-4E07-BFE2-F0F2234EECB4}" name="Trolls65" dataDxfId="151" dataCellStyle="Excel Built-in Normal"/>
    <tableColumn id="98" xr3:uid="{9BB22BED-E98D-418E-94F1-270349A907BE}" name="Trolls66" dataDxfId="150" dataCellStyle="Excel Built-in Normal"/>
    <tableColumn id="99" xr3:uid="{B52C0543-7C84-4DEC-97F4-2E366AD5455D}" name="Trolls67" dataDxfId="149" dataCellStyle="Excel Built-in Normal"/>
    <tableColumn id="100" xr3:uid="{956C8C7C-C162-4EB0-BF49-0B5E49A821C4}" name="Sarake68" dataDxfId="148" dataCellStyle="Excel Built-in Normal"/>
    <tableColumn id="101" xr3:uid="{B536F7FF-3EEC-460F-87D9-D4F46E18540F}" name="Sarake69" dataDxfId="147" dataCellStyle="Excel Built-in Normal"/>
    <tableColumn id="102" xr3:uid="{BCA626CB-A780-4E87-BF1F-3CEEAFBC2F2F}" name="Hakua varten" dataDxfId="146" dataCellStyle="Excel Built-in Normal"/>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D88F213A-D570-4C82-8FF0-714403C7D931}" name="Taulukko18" displayName="Taulukko18" ref="AJ186:EH191" totalsRowShown="0" headerRowDxfId="145" dataDxfId="144" headerRowCellStyle="Excel Built-in Normal" dataCellStyle="Excel Built-in Normal">
  <autoFilter ref="AJ186:EH191" xr:uid="{E9825445-D342-4B65-BC58-7515E9786868}"/>
  <tableColumns count="103">
    <tableColumn id="1" xr3:uid="{55964A83-E555-44B3-B0C1-4DFCC7A5D66D}" name="EYES" dataDxfId="143" dataCellStyle="Excel Built-in Normal 2"/>
    <tableColumn id="2" xr3:uid="{877C7C58-703D-4A2F-AF9F-6CDC27953659}" name="Dragonborn"/>
    <tableColumn id="3" xr3:uid="{6BED7F28-8176-42A1-B376-13DCA29A99C6}" name="Drow"/>
    <tableColumn id="4" xr3:uid="{62F1DD91-89B3-4FC2-A510-548A3C199E16}" name="Drow2"/>
    <tableColumn id="5" xr3:uid="{EEE4BED2-EBA8-403B-B9A9-A413D8338EB4}" name="Dwarf"/>
    <tableColumn id="6" xr3:uid="{3AD95460-188A-4195-A80C-33EAB0247562}" name="Dwarf3"/>
    <tableColumn id="7" xr3:uid="{F02603AD-2213-4156-A08D-DBD3C31DADFD}" name="Dwarf4"/>
    <tableColumn id="8" xr3:uid="{E23701DE-5937-4A9D-A433-4C4BA2CEFF84}" name="Elf"/>
    <tableColumn id="9" xr3:uid="{71127ECC-714C-465F-A5BF-8C97F1C4EC35}" name="Elf5"/>
    <tableColumn id="10" xr3:uid="{221EB2D5-6650-4F11-BD37-2B30FA9DE7EF}" name="Elf6"/>
    <tableColumn id="11" xr3:uid="{801E74DC-B537-46AE-8595-37AE5D3CA659}" name="Elf7"/>
    <tableColumn id="12" xr3:uid="{5663D914-C973-4BB9-8A47-2D8736571999}" name="Elf8"/>
    <tableColumn id="13" xr3:uid="{9E74E401-3A7E-4E1E-9B6B-F2279E9716C0}" name="Elf9"/>
    <tableColumn id="14" xr3:uid="{B4FFF5B2-1192-4F40-903E-A76C404B904D}" name="Gnome"/>
    <tableColumn id="15" xr3:uid="{84C25538-5739-4905-8AC2-935751465E1A}" name="Gnome10"/>
    <tableColumn id="16" xr3:uid="{8BA661DF-E987-456A-BD5F-F4A00FF5D760}" name="Gnome11"/>
    <tableColumn id="17" xr3:uid="{8282E0B4-0EAB-4615-8805-AC19AC18F412}" name="Halfling"/>
    <tableColumn id="18" xr3:uid="{2CDEA15E-B748-4A35-8E11-DB34CA829943}" name="Halfling12"/>
    <tableColumn id="19" xr3:uid="{749AA24B-7228-4A13-8D26-93A2E3BC7022}" name="Halfling13"/>
    <tableColumn id="20" xr3:uid="{10E1DBFF-25F0-4954-A21E-65C5FFC93ABC}" name="Human"/>
    <tableColumn id="21" xr3:uid="{05B409B9-72DB-4B8F-A827-1C3BCFF42901}" name="Human14"/>
    <tableColumn id="22" xr3:uid="{6789B238-6F4A-4121-910F-50B07FD89CB1}" name="Human15"/>
    <tableColumn id="23" xr3:uid="{76476A7E-A0DC-4AE4-9437-73618B84CBB4}" name="Human16"/>
    <tableColumn id="24" xr3:uid="{FCDB7E4D-02A6-405C-94DC-2F3E47D26869}" name="Human17"/>
    <tableColumn id="25" xr3:uid="{64BAECEE-8D90-4CFA-B1AF-AD7B69246D6E}" name="Human18"/>
    <tableColumn id="26" xr3:uid="{77D51AB8-52E2-4F5E-97DD-F24B471EE93A}" name="Human19"/>
    <tableColumn id="27" xr3:uid="{DF25FED5-F217-43BA-9F23-C4E9BF91D1EB}" name="Human20"/>
    <tableColumn id="28" xr3:uid="{8BE490CE-E2FA-47F6-94A6-B9B5B50188E9}" name="Human21"/>
    <tableColumn id="29" xr3:uid="{F6031139-79B2-4F1D-9D72-DA7F36218E94}" name="Human22"/>
    <tableColumn id="30" xr3:uid="{E4EFA2E3-9B46-44F2-A966-F5A96AB60092}" name="Human23"/>
    <tableColumn id="31" xr3:uid="{2B70AC66-1C98-4973-9441-EE9149CEF1F2}" name="Human24"/>
    <tableColumn id="32" xr3:uid="{ED85DCA9-6BB8-402C-9277-8A46AC688B32}" name="Human25"/>
    <tableColumn id="33" xr3:uid="{D3367E6B-4288-4198-9A88-0F9D22BF61B9}" name="Human26"/>
    <tableColumn id="34" xr3:uid="{3ABCE421-0BA4-4932-9E08-74065D24CE94}" name="Human27"/>
    <tableColumn id="35" xr3:uid="{6DD00807-E920-4AF6-85B6-5EBA9013A2D8}" name="Human28"/>
    <tableColumn id="36" xr3:uid="{ACCA45C8-096E-4346-864A-9D3855034776}" name="Human29"/>
    <tableColumn id="37" xr3:uid="{55A6D343-EE60-4CC3-BCB2-9BCFEDCF2ABA}" name="Human30"/>
    <tableColumn id="38" xr3:uid="{E86B1E6F-E13D-4219-9CD2-C5B60198C125}" name="Orc"/>
    <tableColumn id="39" xr3:uid="{DEEDF2EF-B890-4B28-A614-E49091B5F8D5}" name="Orc31"/>
    <tableColumn id="40" xr3:uid="{C6E06897-2694-4A39-B85D-5DDDBC0AE0F2}" name="Arhunerim" dataDxfId="142" dataCellStyle="Excel Built-in Normal"/>
    <tableColumn id="41" xr3:uid="{9515AF82-A0AC-47F8-BE20-0649FA6D41C8}" name="Arhunerim32" dataDxfId="141" dataCellStyle="Excel Built-in Normal"/>
    <tableColumn id="42" xr3:uid="{00C9B168-6679-466C-ADEF-124F9BF1F974}" name="Common man"/>
    <tableColumn id="43" xr3:uid="{212772E6-3C7B-492F-9BAD-1DDE97B6A6F4}" name="Common man33" dataDxfId="140" dataCellStyle="Excel Built-in Normal"/>
    <tableColumn id="44" xr3:uid="{539D1745-6EE9-4FC8-BC31-62C531E44848}" name="High Men" dataDxfId="139" dataCellStyle="Excel Built-in Normal"/>
    <tableColumn id="45" xr3:uid="{111DB93F-AB70-4CA3-8E02-86AE709B8DF4}" name="High Men34"/>
    <tableColumn id="46" xr3:uid="{BE0CE785-31D1-45F5-9BC2-28ADF4A09DBE}" name="High Men35"/>
    <tableColumn id="47" xr3:uid="{151B9D7B-4D19-4886-BDC7-1ED278BCEA2F}" name="High Men36"/>
    <tableColumn id="48" xr3:uid="{5C0093F0-1414-4CAD-BB53-E2054E1BE5CA}" name="High Men37"/>
    <tableColumn id="49" xr3:uid="{02224B8F-702B-4A74-878F-75A9B0DCA62F}" name="Corsair"/>
    <tableColumn id="50" xr3:uid="{6914EDE6-50E5-4EC0-968A-77CBB0ADB651}" name="High Men38" dataDxfId="138" dataCellStyle="Excel Built-in Normal"/>
    <tableColumn id="51" xr3:uid="{50D7AB5D-FA7D-4C05-9AB2-6FAE7B5DE99C}" name="High Men39" dataDxfId="137" dataCellStyle="Excel Built-in Normal"/>
    <tableColumn id="52" xr3:uid="{634FB78B-EDC3-4F1C-8575-2CBE1D693CCA}" name="High Men40" dataDxfId="136" dataCellStyle="Excel Built-in Normal"/>
    <tableColumn id="53" xr3:uid="{86709D87-4CA8-4B91-830B-453400CDB8AC}" name="Dwarf41"/>
    <tableColumn id="103" xr3:uid="{0DD441BB-E6E4-4AE0-A8CE-AC3FC5D3D8B3}" name="Lossedel"/>
    <tableColumn id="54" xr3:uid="{D4DB88BD-4A32-4A36-8ADA-5BA1F5A03DA9}" name="Noldo"/>
    <tableColumn id="55" xr3:uid="{8816417A-06AC-4817-AE1A-58A5D4BA62C3}" name="Silvan"/>
    <tableColumn id="56" xr3:uid="{56E6FEC8-B709-4CD2-9A7A-53A4866DE950}" name="Sinda"/>
    <tableColumn id="57" xr3:uid="{38340F20-5A6E-4B01-8BF7-437554B7A24E}" name="Half Elf"/>
    <tableColumn id="58" xr3:uid="{567FD9D1-A891-44F6-9807-CE81412D5A36}" name="Eriedain"/>
    <tableColumn id="59" xr3:uid="{B6ABEF40-8DE0-43A6-B658-4A2DA22E3CD5}" name="Bear tribes"/>
    <tableColumn id="60" xr3:uid="{11FFF0F6-6083-45CF-808C-E06642A070C8}" name="Eriedain42"/>
    <tableColumn id="61" xr3:uid="{F2C68444-9DD9-4AFF-A202-76CA065F1EB3}" name="Eriedain43"/>
    <tableColumn id="62" xr3:uid="{E6DFF330-2611-41CE-925F-81BF30D40886}" name="Eriedain44"/>
    <tableColumn id="63" xr3:uid="{FA1E6C13-A4C2-4BF6-A91D-DA38F6BF9300}" name="Eriedain45"/>
    <tableColumn id="64" xr3:uid="{B434E3B6-2473-44B7-8124-AA62381C2DF5}" name="Eriedain46"/>
    <tableColumn id="65" xr3:uid="{226386D4-5F8A-4B07-8C1A-7D1C82B08992}" name="Eriedain47"/>
    <tableColumn id="66" xr3:uid="{89DE4ADB-B64E-4C07-9985-4D3A353A40AF}" name="Eriedain48"/>
    <tableColumn id="67" xr3:uid="{8004911E-5C9D-4B37-90DA-FA3E3EB6AFE6}" name="Eriedain49" dataDxfId="135" dataCellStyle="Excel Built-in Normal"/>
    <tableColumn id="68" xr3:uid="{817C8903-5C26-4768-AEC2-5BC5241EA58C}" name="Haradrim, N"/>
    <tableColumn id="69" xr3:uid="{DAEE53B0-BB90-4640-8A13-C9A92137932C}" name="Haradrim, S"/>
    <tableColumn id="70" xr3:uid="{5F716C7B-F344-4411-AA78-D3A5B2E138EA}" name="Hobbit"/>
    <tableColumn id="71" xr3:uid="{A4B4AEEF-3F07-456E-B337-1348ECA38F60}" name="Hobbit50"/>
    <tableColumn id="72" xr3:uid="{DFB387B1-C894-437C-A4A3-DA0CF8F9BF5E}" name="Hobbit51"/>
    <tableColumn id="73" xr3:uid="{044CAC71-6433-43F5-A38A-18285EA0BEC7}" name="Lossoth"/>
    <tableColumn id="74" xr3:uid="{DE823131-E415-4C65-970E-7323C53B0F3C}" name="Lossoth52"/>
    <tableColumn id="75" xr3:uid="{7D973FE7-ACFF-4B18-AED0-4EC002A523AB}" name="Lossoth53"/>
    <tableColumn id="76" xr3:uid="{929F6F46-A6CE-4321-B598-5102685A7522}" name="Lossoth54"/>
    <tableColumn id="77" xr3:uid="{E8A7E276-EE91-4E85-882D-4302E2501E18}" name="Talatherim"/>
    <tableColumn id="78" xr3:uid="{3FC12852-4502-4596-8260-75A655F42661}" name="Talatherim55"/>
    <tableColumn id="79" xr3:uid="{CDDC2A9D-3425-4C00-AB83-EC6054E4473C}" name="Talatherim56"/>
    <tableColumn id="80" xr3:uid="{BE183E9D-3F37-46D4-8B9B-0C6FFFC4F196}" name="Talatherim57"/>
    <tableColumn id="81" xr3:uid="{4E25BBCD-328C-4B08-8D7A-2F32512B6A35}" name="Talatherim58" dataDxfId="134" dataCellStyle="Excel Built-in Normal"/>
    <tableColumn id="82" xr3:uid="{078F229F-F2ED-4BF7-B9A4-E540DC4BFB7B}" name="Talatherim59"/>
    <tableColumn id="83" xr3:uid="{AE636CD4-D2D5-4963-9608-3D85A990B76C}" name="Talatherim60"/>
    <tableColumn id="84" xr3:uid="{4F0984B1-47AD-4078-A04C-2EB2F5406ED5}" name="Talatherim61"/>
    <tableColumn id="85" xr3:uid="{2B6843C9-F6C6-43D7-A92D-AF396C8107E7}" name="Talatherim62"/>
    <tableColumn id="86" xr3:uid="{FDEF4974-9135-4866-8D92-45F9A9C96E83}" name="Chey"/>
    <tableColumn id="87" xr3:uid="{094E2C56-1CE7-4E47-9BE3-4C850A14654C}" name="Womaw"/>
    <tableColumn id="88" xr3:uid="{A9435AA8-C94B-48AF-B635-5DD65F8E87E8}" name="Urd"/>
    <tableColumn id="89" xr3:uid="{A3307075-1E21-4B8D-92A7-BF79A4038F37}" name="Umli"/>
    <tableColumn id="90" xr3:uid="{6F871E19-7744-4E96-BB93-4EBB18C5A79D}" name="Woses"/>
    <tableColumn id="91" xr3:uid="{495F3369-EB2C-4908-89D2-23A197D66BB8}" name="Common Orc"/>
    <tableColumn id="92" xr3:uid="{9E40C01E-8A95-4B77-9E45-A55227295D5B}" name="Uruk-Hai"/>
    <tableColumn id="93" xr3:uid="{6CD04FFE-92F1-471B-9A06-5667CE28309D}" name="Half Orcs"/>
    <tableColumn id="94" xr3:uid="{15ABAC26-A81B-4CB8-B60C-D0ECCA5E69C9}" name="Trolls" dataDxfId="133" dataCellStyle="Excel Built-in Normal"/>
    <tableColumn id="95" xr3:uid="{C3DD0C20-A636-40B0-B862-FD379E60E7A1}" name="Trolls63" dataDxfId="132" dataCellStyle="Excel Built-in Normal"/>
    <tableColumn id="96" xr3:uid="{F4580E45-98AA-4367-843D-E346944FE864}" name="Trolls64" dataDxfId="131" dataCellStyle="Excel Built-in Normal"/>
    <tableColumn id="97" xr3:uid="{85722F3B-B7C1-4C08-88FC-43F153DCDF9A}" name="Trolls65" dataDxfId="130" dataCellStyle="Excel Built-in Normal"/>
    <tableColumn id="98" xr3:uid="{E8A9DDFB-45C7-4B34-B221-DD08A2D4E813}" name="Trolls66" dataDxfId="129" dataCellStyle="Excel Built-in Normal"/>
    <tableColumn id="99" xr3:uid="{882938D4-0B9A-4A02-A759-E6B049F95424}" name="Trolls67" dataDxfId="128" dataCellStyle="Excel Built-in Normal"/>
    <tableColumn id="100" xr3:uid="{994BF887-04F1-4C01-AA29-15B9EAE6B5D1}" name="Sarake68" dataDxfId="127" dataCellStyle="Excel Built-in Normal"/>
    <tableColumn id="101" xr3:uid="{4FE3C494-C8E0-40F3-B8B0-4B3235996693}" name="Sarake69" dataDxfId="126" dataCellStyle="Excel Built-in Normal"/>
    <tableColumn id="102" xr3:uid="{C5ECAEA2-BE43-46FC-BED8-B735A8C1B042}" name="Hakua varten" dataDxfId="125" dataCellStyle="Excel Built-in Normal"/>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CBBD037B-6A91-4665-86C0-3CB3AF25BA45}" name="Taulukko19" displayName="Taulukko19" ref="AJ193:EH198" totalsRowShown="0" headerRowDxfId="124" dataDxfId="123" headerRowCellStyle="Excel Built-in Normal" dataCellStyle="Excel Built-in Normal">
  <autoFilter ref="AJ193:EH198" xr:uid="{8E7143C6-453A-4406-8ADC-43FC5EA18093}"/>
  <tableColumns count="103">
    <tableColumn id="1" xr3:uid="{1CA4F253-2E23-42FE-A21D-6A4EF67BD712}" name="HAIR" dataDxfId="122" dataCellStyle="Excel Built-in Normal 2"/>
    <tableColumn id="2" xr3:uid="{BDE069CD-DF0B-44CF-BFBA-0AB0C3401D05}" name="Dragonborn" dataDxfId="121" dataCellStyle="Excel Built-in Normal 2"/>
    <tableColumn id="3" xr3:uid="{CD370791-91DF-47CA-B885-4501BE2056E3}" name="Drow" dataDxfId="120" dataCellStyle="Excel Built-in Normal 2"/>
    <tableColumn id="4" xr3:uid="{91B2AD0E-183F-434B-A88F-46695EE3459C}" name="Drow2" dataDxfId="119" dataCellStyle="Excel Built-in Normal 2"/>
    <tableColumn id="5" xr3:uid="{3DA107BA-76F0-4C9A-B01B-3FF30DFDC816}" name="Dwarf" dataDxfId="118" dataCellStyle="Excel Built-in Normal 2"/>
    <tableColumn id="6" xr3:uid="{EC765774-41DC-418F-8436-A14E17F6581B}" name="Dwarf3" dataDxfId="117" dataCellStyle="Excel Built-in Normal 2"/>
    <tableColumn id="7" xr3:uid="{18DD2B1A-8B71-4987-961F-128DD07AD777}" name="Dwarf4" dataDxfId="116" dataCellStyle="Excel Built-in Normal 2"/>
    <tableColumn id="8" xr3:uid="{6E6C698E-5DFA-482D-89A4-A65CA9F7CED1}" name="Elf" dataDxfId="115" dataCellStyle="Excel Built-in Normal 2"/>
    <tableColumn id="9" xr3:uid="{C21A4100-7C47-443D-81C6-01DE1B3F0FA4}" name="Elf5" dataDxfId="114" dataCellStyle="Excel Built-in Normal 2"/>
    <tableColumn id="10" xr3:uid="{A66CAAB5-9DBF-4436-988E-888C809AB769}" name="Elf6" dataDxfId="113" dataCellStyle="Excel Built-in Normal 2"/>
    <tableColumn id="11" xr3:uid="{C0752975-248E-4736-A26C-443677212028}" name="Elf7" dataDxfId="112" dataCellStyle="Excel Built-in Normal 2"/>
    <tableColumn id="12" xr3:uid="{8C014AB9-BDEE-41ED-877C-C1C9C5E50273}" name="Elf8" dataDxfId="111" dataCellStyle="Excel Built-in Normal 2"/>
    <tableColumn id="13" xr3:uid="{D0FA25B0-D742-4A60-B209-DDAFFC24B3FB}" name="Elf9" dataDxfId="110" dataCellStyle="Excel Built-in Normal 2"/>
    <tableColumn id="14" xr3:uid="{891045EA-F972-4A08-93B7-765E24FA075C}" name="Gnome" dataDxfId="109" dataCellStyle="Excel Built-in Normal 2"/>
    <tableColumn id="15" xr3:uid="{EE9C14E3-615C-479E-9FB7-58FC539A245D}" name="Gnome10" dataDxfId="108" dataCellStyle="Excel Built-in Normal 2"/>
    <tableColumn id="16" xr3:uid="{7ABFD911-F20D-4585-9927-AB956D14F5C5}" name="Gnome11" dataDxfId="107" dataCellStyle="Excel Built-in Normal 2"/>
    <tableColumn id="17" xr3:uid="{31023B59-0C14-494F-A7E2-EFCFDF57E017}" name="Halfling" dataDxfId="106" dataCellStyle="Excel Built-in Normal 2"/>
    <tableColumn id="18" xr3:uid="{AAC3BCFE-A0A7-4F7F-89AF-F1C53353B4D9}" name="Halfling12" dataDxfId="105" dataCellStyle="Excel Built-in Normal 2"/>
    <tableColumn id="19" xr3:uid="{85243993-F778-4E91-94F6-B119125E5741}" name="Halfling13" dataDxfId="104" dataCellStyle="Excel Built-in Normal 2"/>
    <tableColumn id="20" xr3:uid="{92CFD85F-3CAD-4BBB-8C9E-0B2FED5E56BA}" name="Human" dataDxfId="103" dataCellStyle="Excel Built-in Normal 2"/>
    <tableColumn id="21" xr3:uid="{046A755E-63E5-46DA-AD99-379EDA48E7EC}" name="Human14" dataDxfId="102" dataCellStyle="Excel Built-in Normal 2"/>
    <tableColumn id="22" xr3:uid="{9D6A5AF9-FDB3-4A5E-8951-F34C4B6A64E7}" name="Human15" dataDxfId="101" dataCellStyle="Excel Built-in Normal 2"/>
    <tableColumn id="23" xr3:uid="{922A2FA2-A613-4372-AC77-2564DBC04423}" name="Human16" dataDxfId="100" dataCellStyle="Excel Built-in Normal 2"/>
    <tableColumn id="24" xr3:uid="{52F0A9CE-F51D-409A-B7ED-9DB74CC13D1A}" name="Human17" dataDxfId="99" dataCellStyle="Excel Built-in Normal 2"/>
    <tableColumn id="25" xr3:uid="{88A70925-7625-4FF8-A38A-6896F3C03F39}" name="Human18" dataDxfId="98" dataCellStyle="Excel Built-in Normal 2"/>
    <tableColumn id="26" xr3:uid="{F96F3315-028A-4E2F-BFE7-22FB73E5B23B}" name="Human19" dataDxfId="97" dataCellStyle="Excel Built-in Normal 2"/>
    <tableColumn id="27" xr3:uid="{2EB3B6E0-D579-4FFF-92FE-121375F14CF7}" name="Human20" dataDxfId="96" dataCellStyle="Excel Built-in Normal 2"/>
    <tableColumn id="28" xr3:uid="{A78CF218-19C6-4B5C-A1A8-1B3C183F7FC2}" name="Human21" dataDxfId="95" dataCellStyle="Excel Built-in Normal 2"/>
    <tableColumn id="29" xr3:uid="{4F06D898-CC22-415B-9F59-C3FCF406C724}" name="Human22" dataDxfId="94" dataCellStyle="Excel Built-in Normal 2"/>
    <tableColumn id="30" xr3:uid="{2BCFF784-FEDC-4F42-B23A-15B7BC2790F4}" name="Human23" dataDxfId="93" dataCellStyle="Excel Built-in Normal 2"/>
    <tableColumn id="31" xr3:uid="{47BC2B14-133F-4E2B-A9E7-86B50781759E}" name="Human24" dataDxfId="92" dataCellStyle="Excel Built-in Normal 2"/>
    <tableColumn id="32" xr3:uid="{E32199CD-FC2E-47E3-AF79-C813A0C5180D}" name="Human25" dataDxfId="91" dataCellStyle="Excel Built-in Normal 2"/>
    <tableColumn id="33" xr3:uid="{72C2F6F1-9A9A-47BC-A002-F2FB03429FB2}" name="Human26" dataDxfId="90" dataCellStyle="Excel Built-in Normal 2"/>
    <tableColumn id="34" xr3:uid="{F0CA81DE-80B9-41E9-875D-C8E8358C90CF}" name="Human27" dataDxfId="89" dataCellStyle="Excel Built-in Normal 2"/>
    <tableColumn id="35" xr3:uid="{A09F4FA3-14F2-45F4-9E47-C42E386DA724}" name="Human28" dataDxfId="88" dataCellStyle="Excel Built-in Normal 2"/>
    <tableColumn id="36" xr3:uid="{A7230FFE-46BF-4B9C-8C83-34423A7237D1}" name="Human29" dataDxfId="87" dataCellStyle="Excel Built-in Normal 2"/>
    <tableColumn id="37" xr3:uid="{E1C32AA0-45B9-4041-B740-41FE94C08521}" name="Human30" dataDxfId="86" dataCellStyle="Excel Built-in Normal 2"/>
    <tableColumn id="38" xr3:uid="{820F30A5-5456-4EB5-BC8A-8D51C111EBAA}" name="Orc" dataDxfId="85" dataCellStyle="Excel Built-in Normal 2"/>
    <tableColumn id="39" xr3:uid="{FB2F7C06-2DA6-4DB5-892F-D0FC3974F9BE}" name="Orc31" dataDxfId="84" dataCellStyle="Excel Built-in Normal 2"/>
    <tableColumn id="40" xr3:uid="{8B3BEE8A-4E0F-4AB3-8CED-7B315D9E49A6}" name="Arhunerim" dataDxfId="83" dataCellStyle="Excel Built-in Normal"/>
    <tableColumn id="41" xr3:uid="{031B00C3-D5D4-44B2-889E-26635F348FA6}" name="Arhunerim32" dataDxfId="82" dataCellStyle="Excel Built-in Normal"/>
    <tableColumn id="42" xr3:uid="{972DB32F-9CB2-4FAF-A1BE-6F5D3740793E}" name="Common man" dataDxfId="81" dataCellStyle="Excel Built-in Normal"/>
    <tableColumn id="43" xr3:uid="{4E8549F0-EBA0-4AD5-91C7-0C291EB520F6}" name="Common man33" dataDxfId="80" dataCellStyle="Excel Built-in Normal"/>
    <tableColumn id="44" xr3:uid="{1CCAC455-2646-4426-8AC8-69A8EDDB9BCF}" name="High Men" dataDxfId="79" dataCellStyle="Excel Built-in Normal"/>
    <tableColumn id="45" xr3:uid="{40744966-8F77-4A7B-A817-5DD518FCD37E}" name="High Men34" dataDxfId="78" dataCellStyle="Excel Built-in Normal"/>
    <tableColumn id="46" xr3:uid="{77CDB1FC-2E73-401B-939F-0C88EBD07B82}" name="High Men35" dataDxfId="77" dataCellStyle="Excel Built-in Normal"/>
    <tableColumn id="47" xr3:uid="{8EF1CC70-7E6C-4AEE-ABCE-0304815E66AC}" name="High Men36" dataDxfId="76" dataCellStyle="Excel Built-in Normal"/>
    <tableColumn id="48" xr3:uid="{22B6E4AB-683C-45BD-BD39-5D44864C6D62}" name="High Men37" dataDxfId="75" dataCellStyle="Excel Built-in Normal"/>
    <tableColumn id="49" xr3:uid="{2D81E54C-ED32-445E-8C58-2D60436B1CF5}" name="Corsair" dataDxfId="74" dataCellStyle="Excel Built-in Normal"/>
    <tableColumn id="50" xr3:uid="{DC10B241-98B4-4626-BA20-9D91C930F9F5}" name="High Men38" dataDxfId="73" dataCellStyle="Excel Built-in Normal"/>
    <tableColumn id="51" xr3:uid="{4A20F5DA-B3A7-4B5B-9F55-4A4EB2DC16DC}" name="High Men39" dataDxfId="72" dataCellStyle="Excel Built-in Normal"/>
    <tableColumn id="52" xr3:uid="{CD7E0865-CB76-4E27-BDA9-48BD9F100F0C}" name="High Men40" dataDxfId="71" dataCellStyle="Excel Built-in Normal"/>
    <tableColumn id="53" xr3:uid="{98ED70B1-ABED-4285-9486-16448ED22F64}" name="Dwarf41" dataDxfId="70" dataCellStyle="Excel Built-in Normal"/>
    <tableColumn id="103" xr3:uid="{1F0E1EE1-BC09-45FB-8A64-06A96F0683A9}" name="Lossedel" dataDxfId="69" dataCellStyle="Excel Built-in Normal"/>
    <tableColumn id="54" xr3:uid="{3613CE7E-5420-49E3-83D6-074901C346D6}" name="Noldo" dataDxfId="68" dataCellStyle="Excel Built-in Normal"/>
    <tableColumn id="55" xr3:uid="{9BC6AA40-1477-46F9-BE81-03855D8A91ED}" name="Silvan" dataDxfId="67" dataCellStyle="Excel Built-in Normal"/>
    <tableColumn id="56" xr3:uid="{334E714E-5A3C-4CCE-AEA6-4A36F70A78DA}" name="Sinda" dataDxfId="66" dataCellStyle="Excel Built-in Normal"/>
    <tableColumn id="57" xr3:uid="{7EE1C8F8-6F44-46A9-92C1-6F95C2FBE2B9}" name="Half Elf" dataDxfId="65" dataCellStyle="Excel Built-in Normal"/>
    <tableColumn id="58" xr3:uid="{6D7E5726-D142-445F-9779-360DDBE44629}" name="Eriedain" dataDxfId="64" dataCellStyle="Excel Built-in Normal"/>
    <tableColumn id="59" xr3:uid="{0EA7F941-E837-4637-9E4C-8D10AE955F99}" name="Bear tribes" dataDxfId="63" dataCellStyle="Excel Built-in Normal"/>
    <tableColumn id="60" xr3:uid="{DD5F2A33-4626-4966-914C-656D7355746F}" name="Eriedain42" dataDxfId="62" dataCellStyle="Excel Built-in Normal"/>
    <tableColumn id="61" xr3:uid="{4E057D42-A234-4733-A0B8-94CD50CF16C4}" name="Eriedain43" dataDxfId="61" dataCellStyle="Excel Built-in Normal"/>
    <tableColumn id="62" xr3:uid="{BF92FA27-06BC-4AFD-ABCC-36C91285A30C}" name="Eriedain44" dataDxfId="60" dataCellStyle="Excel Built-in Normal"/>
    <tableColumn id="63" xr3:uid="{FF15D9F3-8E39-4046-ACED-7C10B7750FF8}" name="Eriedain45" dataDxfId="59" dataCellStyle="Excel Built-in Normal"/>
    <tableColumn id="64" xr3:uid="{094DE361-FD1E-4A50-8F47-2F6E33011453}" name="Eriedain46" dataDxfId="58" dataCellStyle="Excel Built-in Normal"/>
    <tableColumn id="65" xr3:uid="{CAAE22AB-F7E6-4F7F-AE51-5B75EF96E3BB}" name="Eriedain47" dataDxfId="57" dataCellStyle="Excel Built-in Normal"/>
    <tableColumn id="66" xr3:uid="{9E5F5B74-8770-49D4-91E6-391D17DAE3DB}" name="Eriedain48" dataDxfId="56" dataCellStyle="Excel Built-in Normal"/>
    <tableColumn id="67" xr3:uid="{6F68CF45-E967-4206-9CE5-879951EAC0E5}" name="Eriedain49" dataDxfId="55" dataCellStyle="Excel Built-in Normal"/>
    <tableColumn id="68" xr3:uid="{F16C77FB-E3E2-49B3-9B98-D7E17661C736}" name="Haradrim, N" dataDxfId="54" dataCellStyle="Excel Built-in Normal"/>
    <tableColumn id="69" xr3:uid="{4334EC17-EEAF-4AEF-B27A-CEAD81D9052C}" name="Haradrim, S" dataDxfId="53" dataCellStyle="Excel Built-in Normal"/>
    <tableColumn id="70" xr3:uid="{0B1CD3A7-D790-4773-A0FB-2F387A6F6458}" name="Hobbit" dataDxfId="52" dataCellStyle="Excel Built-in Normal"/>
    <tableColumn id="71" xr3:uid="{7B804FFC-EC96-43CF-8EF0-89169A657B15}" name="Hobbit50" dataDxfId="51" dataCellStyle="Excel Built-in Normal"/>
    <tableColumn id="72" xr3:uid="{B624396F-887F-4DA6-AADC-ED1279528AC7}" name="Hobbit51" dataDxfId="50" dataCellStyle="Excel Built-in Normal"/>
    <tableColumn id="73" xr3:uid="{AA39B29B-D9AE-4996-9CF9-DFB66070900F}" name="Lossoth" dataDxfId="49" dataCellStyle="Excel Built-in Normal"/>
    <tableColumn id="74" xr3:uid="{486768BA-8D98-45CD-9241-F171EE226089}" name="Lossoth52" dataDxfId="48" dataCellStyle="Excel Built-in Normal"/>
    <tableColumn id="75" xr3:uid="{C6BD60AD-7FD3-4A36-8F65-889F59F87EC3}" name="Lossoth53" dataDxfId="47" dataCellStyle="Excel Built-in Normal"/>
    <tableColumn id="76" xr3:uid="{A1F2DD33-767E-463F-846A-C6B105028049}" name="Lossoth54" dataDxfId="46" dataCellStyle="Excel Built-in Normal"/>
    <tableColumn id="77" xr3:uid="{F3762944-4687-4B52-A1F9-81F7C4EA4798}" name="Talatherim" dataDxfId="45" dataCellStyle="Excel Built-in Normal"/>
    <tableColumn id="78" xr3:uid="{D58BD755-C353-4C8A-8E36-3C33761C86D9}" name="Talatherim55" dataDxfId="44" dataCellStyle="Excel Built-in Normal"/>
    <tableColumn id="79" xr3:uid="{0D75D478-3DCE-409A-8DFF-94C2825FAB4F}" name="Talatherim56" dataDxfId="43" dataCellStyle="Excel Built-in Normal"/>
    <tableColumn id="80" xr3:uid="{9755CD63-D7DC-4148-92D9-4D843A5E5DB8}" name="Talatherim57" dataDxfId="42" dataCellStyle="Excel Built-in Normal"/>
    <tableColumn id="81" xr3:uid="{2C109FA7-FBEA-44F4-8161-F85457E859FF}" name="Talatherim58" dataDxfId="41" dataCellStyle="Excel Built-in Normal"/>
    <tableColumn id="82" xr3:uid="{510F87B8-4707-4678-8BF1-577B454929B4}" name="Talatherim59" dataDxfId="40" dataCellStyle="Excel Built-in Normal"/>
    <tableColumn id="83" xr3:uid="{319293AD-632A-425D-860A-306850E73C46}" name="Talatherim60" dataDxfId="39" dataCellStyle="Excel Built-in Normal"/>
    <tableColumn id="84" xr3:uid="{CAFEB854-27D6-4BB8-983D-834F6681A967}" name="Talatherim61" dataDxfId="38" dataCellStyle="Excel Built-in Normal"/>
    <tableColumn id="85" xr3:uid="{1D69C396-E204-4344-AD38-F6DDD91C91B6}" name="Talatherim62" dataDxfId="37" dataCellStyle="Excel Built-in Normal"/>
    <tableColumn id="86" xr3:uid="{77D53522-6557-4F6C-9C0C-5F38B09AD88D}" name="Chey" dataDxfId="36" dataCellStyle="Excel Built-in Normal"/>
    <tableColumn id="87" xr3:uid="{45428D38-B90F-49EC-B6C4-616C7BD895DA}" name="Womaw" dataDxfId="35" dataCellStyle="Excel Built-in Normal"/>
    <tableColumn id="88" xr3:uid="{E76C5CFE-6935-41B8-8A62-BE06FA71D113}" name="Urd" dataDxfId="34" dataCellStyle="Excel Built-in Normal"/>
    <tableColumn id="89" xr3:uid="{521321BD-F589-47EA-AF4A-A4B09B7DA9ED}" name="Umli" dataDxfId="33" dataCellStyle="Excel Built-in Normal"/>
    <tableColumn id="90" xr3:uid="{E3A697A5-8DCC-4403-BF4B-476CD049AEA2}" name="Woses" dataDxfId="32" dataCellStyle="Excel Built-in Normal"/>
    <tableColumn id="91" xr3:uid="{13DEB6CA-6811-4A9B-8C55-5FC0107A870E}" name="Common Orc" dataDxfId="31" dataCellStyle="Excel Built-in Normal"/>
    <tableColumn id="92" xr3:uid="{66CF4CDB-DD7B-4991-8A14-C6201A843E6E}" name="Uruk-Hai" dataDxfId="30" dataCellStyle="Excel Built-in Normal"/>
    <tableColumn id="93" xr3:uid="{8ADAE3BF-C231-4E0C-9FB4-D908396A2F7C}" name="Half Orcs" dataDxfId="29" dataCellStyle="Excel Built-in Normal"/>
    <tableColumn id="94" xr3:uid="{F00C3971-6E57-490F-86CD-1AE61302A15B}" name="Trolls" dataDxfId="28" dataCellStyle="Excel Built-in Normal"/>
    <tableColumn id="95" xr3:uid="{E462F377-7987-4DE4-8023-D1C36F923FBA}" name="Trolls63" dataDxfId="27" dataCellStyle="Excel Built-in Normal"/>
    <tableColumn id="96" xr3:uid="{FBA5D7E4-0B94-431E-B404-DCD985367B17}" name="Trolls64" dataDxfId="26" dataCellStyle="Excel Built-in Normal"/>
    <tableColumn id="97" xr3:uid="{3800F9D8-0963-4580-9494-6DAC3D04F705}" name="Trolls65" dataDxfId="25" dataCellStyle="Excel Built-in Normal"/>
    <tableColumn id="98" xr3:uid="{1C90096D-D277-4328-9EBC-9283AD5AEC45}" name="Trolls66" dataDxfId="24" dataCellStyle="Excel Built-in Normal"/>
    <tableColumn id="99" xr3:uid="{7D6B545E-B6F5-42C3-9EA2-9AA3A17BBE2C}" name="Trolls67" dataDxfId="23" dataCellStyle="Excel Built-in Normal"/>
    <tableColumn id="100" xr3:uid="{3CD73654-193C-4C01-844A-823C8D24B1BE}" name="Sarake68" dataDxfId="22" dataCellStyle="Excel Built-in Normal"/>
    <tableColumn id="101" xr3:uid="{116A818D-97EA-460F-B8FE-6B544F117CA4}" name="Sarake69" dataDxfId="21" dataCellStyle="Excel Built-in Normal"/>
    <tableColumn id="102" xr3:uid="{BF163A14-F377-4524-84E9-30879759A268}" name="Hakua varten" dataDxfId="20" dataCellStyle="Excel Built-in Normal"/>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5ECD7F8C-172B-4949-B018-0636A0085D5C}" name="Taulukko5" displayName="Taulukko5" ref="A1:D278" totalsRowShown="0" headerRowDxfId="19" dataDxfId="18" headerRowCellStyle="Excel Built-in Normal 2" dataCellStyle="Excel Built-in Normal 2">
  <autoFilter ref="A1:D278" xr:uid="{09C95B6A-D4A8-4A82-A581-68F4CD117B14}"/>
  <tableColumns count="4">
    <tableColumn id="1" xr3:uid="{76C9FB41-52A8-418D-91DC-68DF1148C8B0}" name="Talent (5806 RMFRP with house rules)" dataDxfId="17" dataCellStyle="Excel Built-in Normal 2"/>
    <tableColumn id="2" xr3:uid="{EA159CBF-A605-4BE2-84E2-1ED4E8426705}" name="Points" dataDxfId="16" dataCellStyle="Excel Built-in Normal 2"/>
    <tableColumn id="3" xr3:uid="{CB259D23-DF2A-4DF1-BC5D-3F2A4D1ABEA6}" name="Description" dataDxfId="15" dataCellStyle="Excel Built-in Normal 2"/>
    <tableColumn id="4" xr3:uid="{C91290B4-5373-4EB4-8029-D27223D120BF}" name="Type" dataDxfId="14" dataCellStyle="Excel Built-in Normal 2"/>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4978024-8C0F-4227-81A3-25CCD536BCBE}" name="Taulukko7" displayName="Taulukko7" ref="E1:H185" totalsRowShown="0" headerRowDxfId="13" dataDxfId="12" headerRowCellStyle="Excel Built-in Normal 2" dataCellStyle="Excel Built-in Normal 2">
  <autoFilter ref="E1:H185" xr:uid="{BA7CADFC-0642-48D3-A0D2-E1C4E1621F82}"/>
  <tableColumns count="4">
    <tableColumn id="1" xr3:uid="{D3D5E665-4C36-4AEC-8972-EB5D851885AB}" name="Flaws / Physical" dataDxfId="11" dataCellStyle="Excel Built-in Normal 2"/>
    <tableColumn id="2" xr3:uid="{96459F72-4380-4832-96F9-CF3E5D702E6F}" name="Points" dataDxfId="10" dataCellStyle="Excel Built-in Normal 2"/>
    <tableColumn id="3" xr3:uid="{82A4237A-9068-4A60-B676-D0D907FDBB6E}" name="Description" dataDxfId="9" dataCellStyle="Excel Built-in Normal 2"/>
    <tableColumn id="4" xr3:uid="{45816701-AC1B-4DD8-872A-5D3CFDF5167D}" name="Type" dataDxfId="8" dataCellStyle="Excel Built-in Normal 2"/>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42C7B59-51C6-4BE4-B47D-F8B252910F2B}" name="Taulukko2" displayName="Taulukko2" ref="A1:F174" totalsRowShown="0" headerRowDxfId="7" dataDxfId="6">
  <autoFilter ref="A1:F174" xr:uid="{5CEC6A3A-D430-429E-A046-0B347678048C}"/>
  <tableColumns count="6">
    <tableColumn id="1" xr3:uid="{CB057E25-6B5D-4427-950C-936780DDDA7F}" name="Item" dataDxfId="5"/>
    <tableColumn id="2" xr3:uid="{1E445742-77BE-426B-822D-9FC6D38CFC95}" name="#" dataDxfId="4"/>
    <tableColumn id="3" xr3:uid="{CBA2C80D-3A78-4F77-87F2-2423F404E149}" name="Weight" dataDxfId="3"/>
    <tableColumn id="5" xr3:uid="{C77AF380-9798-42E2-B56A-1B5721D80489}" name="AT" dataDxfId="2"/>
    <tableColumn id="4" xr3:uid="{62C1D3F9-CDD1-4A5D-9E03-DD16EE125354}" name="Notes" dataDxfId="1"/>
    <tableColumn id="7" xr3:uid="{7A7B5767-293B-4249-86C2-C6385403B918}" name="Real weight" dataDxfId="0">
      <calculatedColumnFormula>HLOOKUP(Stats!$B$2,HW!$H$163:$BO$167,5,FALSE)*Taulukko2[[#This Row],[Weight]]</calculatedColumnFormula>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8379B863-54BF-4E6B-BAF6-4F1D14C98918}" name="Taulukko3" displayName="Taulukko3" ref="Z2:AH102" totalsRowShown="0" headerRowDxfId="912" dataDxfId="911" headerRowCellStyle="Excel Built-in Normal 2" dataCellStyle="Excel Built-in Normal 2">
  <autoFilter ref="Z2:AH102" xr:uid="{62846345-0313-41E9-8E56-8E97710E121B}"/>
  <sortState xmlns:xlrd2="http://schemas.microsoft.com/office/spreadsheetml/2017/richdata2" ref="Z3:AH102">
    <sortCondition ref="Z2:Z102"/>
  </sortState>
  <tableColumns count="9">
    <tableColumn id="1" xr3:uid="{A29F98AB-0FA2-4525-AC83-81D1BA248EAB}" name="Race" dataDxfId="910" dataCellStyle="Excel Built-in Normal 2"/>
    <tableColumn id="2" xr3:uid="{7A0402A7-FCF3-46BF-97FE-CB5AD53DD0B1}" name="Essence" dataDxfId="909" dataCellStyle="Excel Built-in Normal 2"/>
    <tableColumn id="3" xr3:uid="{C2A3D5E6-DD47-4AF5-AD88-F6440494AA73}" name="Channeling" dataDxfId="908" dataCellStyle="Excel Built-in Normal 2"/>
    <tableColumn id="4" xr3:uid="{9AF900AB-0897-45D1-AB4B-E3CFDBC7F9DC}" name="Mentalism" dataDxfId="907" dataCellStyle="Excel Built-in Normal 2"/>
    <tableColumn id="5" xr3:uid="{1C00F152-F1CD-40FF-9D26-3BBB6A63B01A}" name="Chan/Ment" dataDxfId="906" dataCellStyle="Excel Built-in Normal 2"/>
    <tableColumn id="6" xr3:uid="{017490B7-1A65-433F-BB5B-A7764C98B351}" name="Ess/ment" dataDxfId="905" dataCellStyle="Excel Built-in Normal 2"/>
    <tableColumn id="7" xr3:uid="{13C9F67A-9CF1-4BF1-9015-FCA9C2C02C52}" name="Ess/Chan" dataDxfId="904" dataCellStyle="Excel Built-in Normal 2"/>
    <tableColumn id="8" xr3:uid="{1D56D43D-3C5E-4CE5-87F0-52B1412C0A09}" name="Arcane" dataDxfId="903" dataCellStyle="Excel Built-in Normal 2"/>
    <tableColumn id="9" xr3:uid="{505517EA-1EBE-4F46-AEDF-F219C764D55C}" name="Body Development" dataDxfId="902" dataCellStyle="Excel Built-in Normal 2"/>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6636BDCF-22FC-4157-A837-748500BAC04D}" name="Taulukko4" displayName="Taulukko4" ref="AJ2:EH50" totalsRowShown="0" headerRowDxfId="901" dataDxfId="900" headerRowCellStyle="Excel Built-in Normal" dataCellStyle="Excel Built-in Normal">
  <autoFilter ref="AJ2:EH50" xr:uid="{B52E2261-64C5-4AE2-96E7-25778074E1DB}"/>
  <tableColumns count="103">
    <tableColumn id="1" xr3:uid="{1BA9D4EB-8F45-4E37-9E81-2A4B600277D9}" name="Sarake1" dataDxfId="899" dataCellStyle="Excel Built-in Normal 2"/>
    <tableColumn id="2" xr3:uid="{2E655C3B-7F8B-46AB-9FB9-FD93D4D9B8FC}" name="Sarake2" dataDxfId="898" dataCellStyle="Excel Built-in Normal 2"/>
    <tableColumn id="3" xr3:uid="{2669417D-3955-4842-A63B-D98CB6283A3D}" name="Sarake3" dataDxfId="897" dataCellStyle="Excel Built-in Normal 2"/>
    <tableColumn id="4" xr3:uid="{5D3DDE69-C07B-4284-9ACA-72903277F3C1}" name="Sarake4" dataDxfId="896" dataCellStyle="Excel Built-in Normal 2"/>
    <tableColumn id="5" xr3:uid="{DEBFBCD1-DF95-441D-80A3-5F447A7DBB18}" name="Sarake5" dataDxfId="895" dataCellStyle="Excel Built-in Normal 2"/>
    <tableColumn id="6" xr3:uid="{731E45F4-C8CA-4F34-AD16-63EFB5EE2A5B}" name="Sarake6" dataDxfId="894" dataCellStyle="Excel Built-in Normal 2"/>
    <tableColumn id="7" xr3:uid="{734ABB92-4653-414B-BBE4-7F4CED0B22D4}" name="Sarake7" dataDxfId="893" dataCellStyle="Excel Built-in Normal 2"/>
    <tableColumn id="8" xr3:uid="{AEDF2FD2-25F1-443C-AFF7-0D0B56FF25FF}" name="Sarake8" dataDxfId="892" dataCellStyle="Excel Built-in Normal 2"/>
    <tableColumn id="9" xr3:uid="{27E2A0B8-0E3C-4B22-9106-104113036632}" name="Sarake9" dataDxfId="891" dataCellStyle="Excel Built-in Normal 2"/>
    <tableColumn id="10" xr3:uid="{8EFA0EFB-806F-4C38-B1C3-C1A752B2BE8C}" name="Sarake10" dataDxfId="890" dataCellStyle="Excel Built-in Normal 2"/>
    <tableColumn id="11" xr3:uid="{D5309D7C-37E4-4E17-A0EA-248A4FB51E4A}" name="Sarake11" dataDxfId="889" dataCellStyle="Excel Built-in Normal 2"/>
    <tableColumn id="12" xr3:uid="{4A151A74-F766-4A85-B068-776AC3067B5E}" name="Sarake12" dataDxfId="888" dataCellStyle="Excel Built-in Normal 2"/>
    <tableColumn id="13" xr3:uid="{9F19A982-7FF9-4C80-A988-D8A1FE2E072E}" name="Sarake13" dataDxfId="887" dataCellStyle="Excel Built-in Normal 2"/>
    <tableColumn id="14" xr3:uid="{FF34B9CF-B1AF-4870-A98C-1FB5A26DDEF7}" name="Sarake14" dataDxfId="886" dataCellStyle="Excel Built-in Normal 2"/>
    <tableColumn id="15" xr3:uid="{2D03B46C-BED1-454B-82C8-A5FAEB65A942}" name="Sarake15" dataDxfId="885" dataCellStyle="Excel Built-in Normal 2"/>
    <tableColumn id="16" xr3:uid="{CF2DA7D5-177D-4690-8986-BBB773CD12ED}" name="Sarake16" dataDxfId="884" dataCellStyle="Excel Built-in Normal 2"/>
    <tableColumn id="17" xr3:uid="{00CC83F1-E6EA-4F0A-90DE-5104638DD959}" name="Sarake17" dataDxfId="883" dataCellStyle="Excel Built-in Normal 2"/>
    <tableColumn id="18" xr3:uid="{862C2F1E-97A0-4503-88FA-B0A75F716872}" name="Sarake18" dataDxfId="882" dataCellStyle="Excel Built-in Normal 2"/>
    <tableColumn id="19" xr3:uid="{BB899A37-9145-4C8F-A01F-332CAC67D328}" name="Sarake19" dataDxfId="881" dataCellStyle="Excel Built-in Normal 2"/>
    <tableColumn id="20" xr3:uid="{DDBC6349-028F-45A4-8C09-0214B1631F0A}" name="Sarake20" dataDxfId="880" dataCellStyle="Excel Built-in Normal 2"/>
    <tableColumn id="21" xr3:uid="{C507907E-D3C4-4B1E-8B18-EE1A106EE242}" name="Sarake21" dataDxfId="879" dataCellStyle="Excel Built-in Normal 2"/>
    <tableColumn id="22" xr3:uid="{F4B3273E-0943-4E6F-AD0B-FA63A97DD25E}" name="Sarake22" dataDxfId="878" dataCellStyle="Excel Built-in Normal 2"/>
    <tableColumn id="23" xr3:uid="{3829E050-B3F8-4E17-A8BF-E2377866063B}" name="Sarake23" dataDxfId="877" dataCellStyle="Excel Built-in Normal 2"/>
    <tableColumn id="24" xr3:uid="{034F44D4-F49C-45FD-83D5-718ED3F587B3}" name="Sarake24" dataDxfId="876" dataCellStyle="Excel Built-in Normal 2"/>
    <tableColumn id="25" xr3:uid="{21F889DE-1411-40DD-BAB5-E3F81D85BD73}" name="Sarake25" dataDxfId="875" dataCellStyle="Excel Built-in Normal 2"/>
    <tableColumn id="26" xr3:uid="{19F91B7A-A630-4014-B8D5-8DD5F1537F9B}" name="Sarake26" dataDxfId="874" dataCellStyle="Excel Built-in Normal 2"/>
    <tableColumn id="27" xr3:uid="{B545B7B2-03C8-4CF9-9989-C9F1FC069674}" name="Sarake27" dataDxfId="873" dataCellStyle="Excel Built-in Normal 2"/>
    <tableColumn id="28" xr3:uid="{22438A10-FC62-4BE4-8D87-D041F82A5F2A}" name="Sarake28" dataDxfId="872" dataCellStyle="Excel Built-in Normal 2"/>
    <tableColumn id="29" xr3:uid="{0789C158-76DE-4996-81C9-CEE610C3C587}" name="Sarake29" dataDxfId="871" dataCellStyle="Excel Built-in Normal 2"/>
    <tableColumn id="30" xr3:uid="{4DECF55C-94FD-4C04-A62B-921DBA24C278}" name="Sarake30" dataDxfId="870" dataCellStyle="Excel Built-in Normal 2"/>
    <tableColumn id="31" xr3:uid="{6D5BE8A3-3448-4FA1-AE37-24F4A5315B76}" name="Sarake31" dataDxfId="869" dataCellStyle="Excel Built-in Normal 2"/>
    <tableColumn id="32" xr3:uid="{BDAAE83B-A885-4C03-9921-FA59190ECA81}" name="Sarake32" dataDxfId="868" dataCellStyle="Excel Built-in Normal 2"/>
    <tableColumn id="33" xr3:uid="{EAA91F92-8F0A-4C73-B281-E2D96F48F072}" name="Sarake33" dataDxfId="867" dataCellStyle="Excel Built-in Normal 2"/>
    <tableColumn id="34" xr3:uid="{DE2E1137-AA7B-4EC9-9D7E-4F9E6F16F229}" name="Sarake34" dataDxfId="866" dataCellStyle="Excel Built-in Normal 2"/>
    <tableColumn id="35" xr3:uid="{BAD5C689-809F-49FA-90FC-5F3D009DD903}" name="Sarake35" dataDxfId="865" dataCellStyle="Excel Built-in Normal 2"/>
    <tableColumn id="36" xr3:uid="{8CB4DDFE-9A40-4FC9-87F1-F513D3543401}" name="Sarake36" dataDxfId="864" dataCellStyle="Excel Built-in Normal 2"/>
    <tableColumn id="37" xr3:uid="{3EED77D7-CB24-49CC-B0E2-02AD83A81E55}" name="Sarake37" dataDxfId="863" dataCellStyle="Excel Built-in Normal 2"/>
    <tableColumn id="38" xr3:uid="{5192C7EA-7A27-4656-841D-98B6E66F7CA5}" name="Sarake38" dataDxfId="862" dataCellStyle="Excel Built-in Normal 2"/>
    <tableColumn id="39" xr3:uid="{95C76773-4BCB-44AF-B432-659D8C5409E3}" name="Sarake39" dataDxfId="861" dataCellStyle="Excel Built-in Normal 2"/>
    <tableColumn id="40" xr3:uid="{5D85EC63-72F7-4F7C-97FE-2E3C19ECC582}" name="Sarake40" dataDxfId="860" dataCellStyle="Excel Built-in Normal"/>
    <tableColumn id="41" xr3:uid="{DC6FD66D-B0E2-43D0-9782-3896EA62969B}" name="Sarake41" dataDxfId="859" dataCellStyle="Excel Built-in Normal"/>
    <tableColumn id="42" xr3:uid="{F9FE339F-E98D-4E84-A5CF-13BD7CE598C1}" name="Sarake42" dataDxfId="858" dataCellStyle="Excel Built-in Normal"/>
    <tableColumn id="43" xr3:uid="{FAA61587-B866-4D2B-A4B1-6BB363AFE4C6}" name="Sarake43" dataDxfId="857" dataCellStyle="Excel Built-in Normal"/>
    <tableColumn id="44" xr3:uid="{9CFFB70A-1CE2-4462-B740-0186AB376BFE}" name="Sarake44" dataDxfId="856" dataCellStyle="Excel Built-in Normal"/>
    <tableColumn id="45" xr3:uid="{3D88910E-645E-4CF5-BD6E-20C088BA13D8}" name="Sarake45" dataDxfId="855" dataCellStyle="Excel Built-in Normal"/>
    <tableColumn id="46" xr3:uid="{7FD1790D-2005-4DEE-A5F8-8C542B15026D}" name="Sarake46" dataDxfId="854" dataCellStyle="Excel Built-in Normal"/>
    <tableColumn id="47" xr3:uid="{FFE0DDB9-5F29-4579-96C2-3D668170674D}" name="Sarake47" dataDxfId="853" dataCellStyle="Excel Built-in Normal"/>
    <tableColumn id="48" xr3:uid="{6DDFF1C7-0453-495F-9D10-8A153A803DF0}" name="Sarake48" dataDxfId="852" dataCellStyle="Excel Built-in Normal"/>
    <tableColumn id="49" xr3:uid="{D365B93F-7E6D-4956-8115-A433936EAD9C}" name="Sarake49" dataDxfId="851" dataCellStyle="Excel Built-in Normal"/>
    <tableColumn id="50" xr3:uid="{578C57ED-885A-4B90-94E4-041844EFF199}" name="Sarake50" dataDxfId="850" dataCellStyle="Excel Built-in Normal"/>
    <tableColumn id="51" xr3:uid="{DC9D20D7-1237-4D37-A8E6-A56CA6C074AD}" name="Sarake51" dataDxfId="849" dataCellStyle="Excel Built-in Normal"/>
    <tableColumn id="52" xr3:uid="{353B76D8-9A75-49D8-8626-B4135FD9039A}" name="Sarake52" dataDxfId="848" dataCellStyle="Excel Built-in Normal"/>
    <tableColumn id="53" xr3:uid="{6DBE1857-A0D9-452B-8B78-D9E9B409FAC4}" name="Sarake53" dataDxfId="847" dataCellStyle="Excel Built-in Normal"/>
    <tableColumn id="94" xr3:uid="{A0AFF720-0523-406B-B885-09E780EF1EF4}" name="Sarake532" dataDxfId="846" dataCellStyle="Excel Built-in Normal"/>
    <tableColumn id="54" xr3:uid="{3C1911EC-0D6B-4F60-9984-4D227DD30C7C}" name="Sarake54" dataDxfId="845" dataCellStyle="Excel Built-in Normal"/>
    <tableColumn id="55" xr3:uid="{43CF9CE9-5B57-4D29-89C8-211DEE5E6B78}" name="Sarake55" dataDxfId="844" dataCellStyle="Excel Built-in Normal"/>
    <tableColumn id="56" xr3:uid="{B693C71F-B2EC-4B39-92FA-8954D96BC6C6}" name="Sarake56" dataDxfId="843" dataCellStyle="Excel Built-in Normal"/>
    <tableColumn id="57" xr3:uid="{F85049E0-DD07-422D-97B4-FE4A8568FD9F}" name="Sarake57" dataDxfId="842" dataCellStyle="Excel Built-in Normal"/>
    <tableColumn id="58" xr3:uid="{5C9E0481-6254-4564-8FC5-63200FEDE39A}" name="Sarake58" dataDxfId="841" dataCellStyle="Excel Built-in Normal"/>
    <tableColumn id="59" xr3:uid="{67773282-B2AB-4D1B-BF8D-4EAD84D9F923}" name="Sarake59" dataDxfId="840" dataCellStyle="Excel Built-in Normal"/>
    <tableColumn id="60" xr3:uid="{BF2A6E9D-0BCF-431F-BBA0-454DCD6A78F1}" name="Sarake60" dataDxfId="839" dataCellStyle="Excel Built-in Normal"/>
    <tableColumn id="61" xr3:uid="{D3CC5F95-F84B-46C8-8177-CAB157A032C9}" name="Sarake61" dataDxfId="838" dataCellStyle="Excel Built-in Normal"/>
    <tableColumn id="62" xr3:uid="{CB250139-E590-478A-BCDC-C6EB99A7657E}" name="Sarake62" dataDxfId="837" dataCellStyle="Excel Built-in Normal"/>
    <tableColumn id="63" xr3:uid="{B9D2437E-1653-4029-B22B-A607E17E658B}" name="Sarake63" dataDxfId="836" dataCellStyle="Excel Built-in Normal"/>
    <tableColumn id="64" xr3:uid="{376B333E-AE05-4E82-9B83-5C62128BCA3B}" name="Sarake64" dataDxfId="835" dataCellStyle="Excel Built-in Normal"/>
    <tableColumn id="65" xr3:uid="{E2A7C736-0956-4C21-98AE-A468B2184CCD}" name="Sarake65" dataDxfId="834" dataCellStyle="Excel Built-in Normal"/>
    <tableColumn id="66" xr3:uid="{E812BC7B-ACED-4E89-8C12-9A0941F6A38F}" name="Sarake66" dataDxfId="833" dataCellStyle="Excel Built-in Normal"/>
    <tableColumn id="67" xr3:uid="{48921910-23BC-4C6B-8EDE-54CC47C88231}" name="Sarake67" dataDxfId="832" dataCellStyle="Excel Built-in Normal"/>
    <tableColumn id="68" xr3:uid="{F517B5FF-6444-4AB6-A793-86F37DE54B49}" name="Sarake68" dataDxfId="831" dataCellStyle="Excel Built-in Normal"/>
    <tableColumn id="69" xr3:uid="{1D99823A-315F-4675-B066-AF9FC8A31896}" name="Sarake69" dataDxfId="830" dataCellStyle="Excel Built-in Normal"/>
    <tableColumn id="70" xr3:uid="{CDD43BCA-E647-4DAF-9D35-763D621F2EE1}" name="Sarake70" dataDxfId="829" dataCellStyle="Excel Built-in Normal"/>
    <tableColumn id="71" xr3:uid="{805CF5FF-6BB0-4382-94DA-4CEFE82117FF}" name="Sarake71" dataDxfId="828" dataCellStyle="Excel Built-in Normal"/>
    <tableColumn id="72" xr3:uid="{064576FE-AF43-451F-A407-41908060CC7A}" name="Sarake72" dataDxfId="827" dataCellStyle="Excel Built-in Normal"/>
    <tableColumn id="73" xr3:uid="{5922E1E7-4DB4-47BB-A10F-ABA6D07EA555}" name="Sarake73" dataDxfId="826" dataCellStyle="Excel Built-in Normal"/>
    <tableColumn id="74" xr3:uid="{1C88CC79-61B9-453A-A64F-4A597015331B}" name="Sarake74" dataDxfId="825" dataCellStyle="Excel Built-in Normal"/>
    <tableColumn id="75" xr3:uid="{3C5E495A-7F66-4232-83F0-236BB3EE10E6}" name="Sarake75" dataDxfId="824" dataCellStyle="Excel Built-in Normal"/>
    <tableColumn id="76" xr3:uid="{C4F33E52-01CF-4792-B472-006DB97CC183}" name="Sarake76" dataDxfId="823" dataCellStyle="Excel Built-in Normal"/>
    <tableColumn id="77" xr3:uid="{EC019DDC-EE6D-45A5-97ED-362B0A0B77B6}" name="Sarake77" dataDxfId="822" dataCellStyle="Excel Built-in Normal"/>
    <tableColumn id="78" xr3:uid="{8DAACBBC-D5AE-4582-A1AB-0F929AD959CD}" name="Sarake78" dataDxfId="821" dataCellStyle="Excel Built-in Normal"/>
    <tableColumn id="79" xr3:uid="{E46F1DDB-1E0A-4F97-8FC4-54D371ED8725}" name="Sarake79" dataDxfId="820" dataCellStyle="Excel Built-in Normal"/>
    <tableColumn id="80" xr3:uid="{D230BF08-372B-48A1-8EF2-AABA30F309C0}" name="Sarake80" dataDxfId="819" dataCellStyle="Excel Built-in Normal"/>
    <tableColumn id="81" xr3:uid="{1F412720-40B9-4D04-93B9-A51C47242FD6}" name="Sarake81" dataDxfId="818" dataCellStyle="Excel Built-in Normal"/>
    <tableColumn id="82" xr3:uid="{16D2C95F-AA36-4327-B6E2-33BD3A7B079F}" name="Sarake82" dataDxfId="817" dataCellStyle="Excel Built-in Normal"/>
    <tableColumn id="83" xr3:uid="{E5C69A0F-C9E6-45A4-8482-3A3FA0D09010}" name="Sarake83" dataDxfId="816" dataCellStyle="Excel Built-in Normal"/>
    <tableColumn id="84" xr3:uid="{505F2643-45D8-4924-B3F5-0C81F17BFDC8}" name="Sarake84" dataDxfId="815" dataCellStyle="Excel Built-in Normal"/>
    <tableColumn id="85" xr3:uid="{A8E5ED6E-7CB3-4654-A129-632275D72956}" name="Sarake85" dataDxfId="814" dataCellStyle="Excel Built-in Normal"/>
    <tableColumn id="86" xr3:uid="{5612EE5E-9217-47CB-A4B8-79EC5D4B101E}" name="Sarake86" dataDxfId="813" dataCellStyle="Excel Built-in Normal"/>
    <tableColumn id="87" xr3:uid="{128783B3-C567-46B0-805B-99B9AC6EF27E}" name="Sarake87" dataDxfId="812" dataCellStyle="Excel Built-in Normal"/>
    <tableColumn id="88" xr3:uid="{D89106F0-ACBC-4E43-B5EC-6B2911ADD547}" name="Sarake88" dataDxfId="811" dataCellStyle="Excel Built-in Normal"/>
    <tableColumn id="89" xr3:uid="{FA372393-5490-4246-B212-B0050581A36E}" name="Sarake89" dataDxfId="810" dataCellStyle="Excel Built-in Normal"/>
    <tableColumn id="90" xr3:uid="{7F0C9D61-1F5B-44F1-BCAE-A75668203670}" name="Sarake90" dataDxfId="809" dataCellStyle="Excel Built-in Normal"/>
    <tableColumn id="91" xr3:uid="{E62DC557-FFF9-40BC-9BE6-72104960FA95}" name="Sarake91" dataDxfId="808" dataCellStyle="Excel Built-in Normal"/>
    <tableColumn id="92" xr3:uid="{F4F74358-7949-400C-B933-CEFC1F5EC4B0}" name="Sarake92" dataDxfId="807" dataCellStyle="Excel Built-in Normal"/>
    <tableColumn id="93" xr3:uid="{AE406D61-98BD-4AE3-BD40-5F5C0B502ECE}" name="Sarake93" dataDxfId="806" dataCellStyle="Excel Built-in Normal"/>
    <tableColumn id="96" xr3:uid="{013F11CD-F59A-4D07-A65C-4ADC9EBA0B1F}" name="Sarake96" dataDxfId="805" dataCellStyle="Excel Built-in Normal"/>
    <tableColumn id="97" xr3:uid="{C9AE2AD7-4BEE-4FB4-ACE3-8284E8AFF801}" name="Sarake97" dataDxfId="804" dataCellStyle="Excel Built-in Normal"/>
    <tableColumn id="98" xr3:uid="{AF838DFC-AF7F-426F-A097-E9B2214DC003}" name="Sarake98" dataDxfId="803" dataCellStyle="Excel Built-in Normal"/>
    <tableColumn id="99" xr3:uid="{FA565C72-7C0A-42AA-BD61-570381711E0C}" name="Sarake99" dataDxfId="802" dataCellStyle="Excel Built-in Normal"/>
    <tableColumn id="100" xr3:uid="{14360594-8A53-4747-88DA-AAA39051EC12}" name="Sarake100" dataDxfId="801" dataCellStyle="Excel Built-in Normal"/>
    <tableColumn id="101" xr3:uid="{0DB059A6-DC3C-4B41-8161-7A60AF67B317}" name="Sarake101" dataDxfId="800" dataCellStyle="Excel Built-in Normal"/>
    <tableColumn id="102" xr3:uid="{685D9A64-CEFA-4B31-A56D-1EEE9D30066D}" name="Sarake102" dataDxfId="799" dataCellStyle="Excel Built-in Normal"/>
    <tableColumn id="103" xr3:uid="{66EA5BB6-76DB-4888-9498-EB2814F06F1E}" name="Sarake103" dataDxfId="798" dataCellStyle="Excel Built-in Normal"/>
    <tableColumn id="104" xr3:uid="{FCCFFD96-A43B-4EAC-B603-E6D94611EBFE}" name="Hakua varten" dataDxfId="797" dataCellStyle="Excel Built-in Normal"/>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4E8EC900-65C0-4480-B761-56D96D28AD5D}" name="Taulukko11" displayName="Taulukko11" ref="AJ53:EH61" totalsRowShown="0" headerRowDxfId="796" dataDxfId="795" headerRowCellStyle="Excel Built-in Normal" dataCellStyle="Excel Built-in Normal">
  <autoFilter ref="AJ53:EH61" xr:uid="{8D788ED5-576F-4F4F-850D-461C4EE4014C}"/>
  <tableColumns count="103">
    <tableColumn id="1" xr3:uid="{14995ADC-FDC1-4162-B51B-3FCF85D8B7CA}" name="Everyoman" dataDxfId="794" dataCellStyle="Excel Built-in Normal 2"/>
    <tableColumn id="2" xr3:uid="{FB350529-3218-4556-A1AF-868DDA8B95C7}" name="Sarake2" dataDxfId="793" dataCellStyle="Excel Built-in Normal 2"/>
    <tableColumn id="3" xr3:uid="{EAA81CF1-0551-4011-86E4-321B5D71FE2D}" name="Sarake3" dataDxfId="792" dataCellStyle="Excel Built-in Normal 2"/>
    <tableColumn id="4" xr3:uid="{2058EF9C-3937-4335-AFD6-2A76D5DCF9B4}" name="Sarake4" dataDxfId="791" dataCellStyle="Excel Built-in Normal 2"/>
    <tableColumn id="5" xr3:uid="{3B50AC54-C316-46B4-A143-0755C20A5C9C}" name="Sarake5" dataDxfId="790" dataCellStyle="Excel Built-in Normal 2"/>
    <tableColumn id="6" xr3:uid="{7E06E142-9404-453C-A180-AAC1F46E9FD4}" name="Sarake6" dataDxfId="789" dataCellStyle="Excel Built-in Normal 2"/>
    <tableColumn id="7" xr3:uid="{A816BFA7-C06B-42B8-8D53-77CA71A166A9}" name="Sarake7" dataDxfId="788" dataCellStyle="Excel Built-in Normal 2"/>
    <tableColumn id="8" xr3:uid="{6FA5DA47-979C-4DE4-984A-B8F7DAAD6C15}" name="Sarake8" dataDxfId="787" dataCellStyle="Excel Built-in Normal 2"/>
    <tableColumn id="9" xr3:uid="{1A2FB2C5-007D-416D-8A6B-8806A22EAD82}" name="Sarake9" dataDxfId="786" dataCellStyle="Excel Built-in Normal 2"/>
    <tableColumn id="10" xr3:uid="{8FD1D733-F80A-4970-98A9-BC6C3C808E46}" name="Sarake10" dataDxfId="785" dataCellStyle="Excel Built-in Normal 2"/>
    <tableColumn id="11" xr3:uid="{476A6FE7-84B3-4BA4-B223-3701CCD0942A}" name="Sarake11" dataDxfId="784" dataCellStyle="Excel Built-in Normal 2"/>
    <tableColumn id="12" xr3:uid="{AC70F35A-A403-4920-9E78-882031B6C5D3}" name="Sarake12" dataDxfId="783" dataCellStyle="Excel Built-in Normal 2"/>
    <tableColumn id="13" xr3:uid="{F22F6CFC-9972-44E4-8E0E-8021DA7D3554}" name="Sarake13" dataDxfId="782" dataCellStyle="Excel Built-in Normal 2"/>
    <tableColumn id="14" xr3:uid="{DC3C655B-80A3-4B35-9DBF-092A3D6AEB45}" name="Sarake14" dataDxfId="781" dataCellStyle="Excel Built-in Normal 2"/>
    <tableColumn id="15" xr3:uid="{FF3E9ABC-6517-45AB-AFED-504BDB917C3C}" name="Sarake15" dataDxfId="780" dataCellStyle="Excel Built-in Normal 2"/>
    <tableColumn id="16" xr3:uid="{F21F137F-DF97-4802-A01D-C26E286D5745}" name="Sarake16" dataDxfId="779" dataCellStyle="Excel Built-in Normal 2"/>
    <tableColumn id="17" xr3:uid="{A59FC5D8-0B07-4784-8F6C-A870B91A3396}" name="Sarake17" dataDxfId="778" dataCellStyle="Excel Built-in Normal 2"/>
    <tableColumn id="18" xr3:uid="{DDF0FED0-D74C-4F07-9896-553E574D81B1}" name="Sarake18" dataDxfId="777" dataCellStyle="Excel Built-in Normal 2"/>
    <tableColumn id="19" xr3:uid="{0D67BC3A-B3CA-467A-BC3D-4D6091A1DD79}" name="Sarake19" dataDxfId="776" dataCellStyle="Excel Built-in Normal 2"/>
    <tableColumn id="20" xr3:uid="{D591A1CF-BA96-4E97-A46C-F521EA0C7548}" name="Sarake20" dataDxfId="775" dataCellStyle="Excel Built-in Normal 2"/>
    <tableColumn id="21" xr3:uid="{A3B91401-4EC6-4999-B6BA-F75D5962254B}" name="Sarake21" dataDxfId="774" dataCellStyle="Excel Built-in Normal 2"/>
    <tableColumn id="22" xr3:uid="{D57463AD-9EF6-406E-9F71-79AF0F45E357}" name="Sarake22" dataDxfId="773" dataCellStyle="Excel Built-in Normal 2"/>
    <tableColumn id="23" xr3:uid="{819E4E84-3032-472A-985F-1723FD3A0E23}" name="Sarake23" dataDxfId="772" dataCellStyle="Excel Built-in Normal 2"/>
    <tableColumn id="24" xr3:uid="{B79682E5-3121-4D87-A924-68B3B20B9033}" name="Sarake24" dataDxfId="771" dataCellStyle="Excel Built-in Normal 2"/>
    <tableColumn id="25" xr3:uid="{34EA52F4-F554-41C0-BB44-2736BAF92DDA}" name="Sarake25" dataDxfId="770" dataCellStyle="Excel Built-in Normal 2"/>
    <tableColumn id="26" xr3:uid="{0AFCEE99-792A-4D51-99D1-291273D895DE}" name="Sarake26" dataDxfId="769" dataCellStyle="Excel Built-in Normal 2"/>
    <tableColumn id="27" xr3:uid="{27A142CA-26A6-47D8-A763-7E31C5D0C554}" name="Sarake27" dataDxfId="768" dataCellStyle="Excel Built-in Normal 2"/>
    <tableColumn id="28" xr3:uid="{353A8772-115E-48F8-8361-DFA98D87EE47}" name="Sarake28" dataDxfId="767" dataCellStyle="Excel Built-in Normal 2"/>
    <tableColumn id="29" xr3:uid="{106C6B50-E3B1-42DF-8F0A-F92AB808351C}" name="Sarake29" dataDxfId="766" dataCellStyle="Excel Built-in Normal 2"/>
    <tableColumn id="30" xr3:uid="{D5392250-08B2-438D-ABF6-543E6FF87332}" name="Sarake30" dataDxfId="765" dataCellStyle="Excel Built-in Normal 2"/>
    <tableColumn id="31" xr3:uid="{566258BE-A235-492D-ABE0-F10C6E30178E}" name="Sarake31" dataDxfId="764" dataCellStyle="Excel Built-in Normal 2"/>
    <tableColumn id="32" xr3:uid="{04A72F93-0B27-4B86-8C07-A51E38AC931C}" name="Sarake32" dataDxfId="763" dataCellStyle="Excel Built-in Normal 2"/>
    <tableColumn id="33" xr3:uid="{2C60F490-D669-479A-A0FD-E2E658F09555}" name="Sarake33" dataDxfId="762" dataCellStyle="Excel Built-in Normal 2"/>
    <tableColumn id="34" xr3:uid="{E5ED30E7-CACC-473C-B7B8-B7D03625F6FD}" name="Sarake34" dataDxfId="761" dataCellStyle="Excel Built-in Normal 2"/>
    <tableColumn id="35" xr3:uid="{8CC847E5-ACE3-41C6-AF73-FCAE88A4995B}" name="Sarake35" dataDxfId="760" dataCellStyle="Excel Built-in Normal 2"/>
    <tableColumn id="36" xr3:uid="{7D87C987-F679-4F66-9C43-7380C9098CA3}" name="Sarake36" dataDxfId="759" dataCellStyle="Excel Built-in Normal 2"/>
    <tableColumn id="37" xr3:uid="{60C219CD-BFFC-45E5-9E11-061A926BE8C0}" name="Sarake37" dataDxfId="758" dataCellStyle="Excel Built-in Normal 2"/>
    <tableColumn id="38" xr3:uid="{05C1D10C-A988-46AC-9ECC-3B6F3DD2FABC}" name="Sarake38" dataDxfId="757" dataCellStyle="Excel Built-in Normal 2"/>
    <tableColumn id="39" xr3:uid="{D09AE369-5EF6-4144-B39D-2E9CA5C8D24D}" name="Sarake39" dataDxfId="756" dataCellStyle="Excel Built-in Normal 2"/>
    <tableColumn id="40" xr3:uid="{2AF252F2-9DCB-4191-B113-2F9C2DD5F3FC}" name="Sarake40" dataDxfId="755" dataCellStyle="Excel Built-in Normal"/>
    <tableColumn id="41" xr3:uid="{445819AE-6208-4837-8C76-D4773E2794CA}" name="Sarake41" dataDxfId="754" dataCellStyle="Excel Built-in Normal"/>
    <tableColumn id="42" xr3:uid="{D4A258C7-B73F-4D62-B541-5C8DA2B220C3}" name="Sarake42" dataDxfId="753" dataCellStyle="Excel Built-in Normal"/>
    <tableColumn id="43" xr3:uid="{0887BBB8-FA3E-4337-8D50-8F25482D6CF9}" name="Sarake43" dataDxfId="752" dataCellStyle="Excel Built-in Normal"/>
    <tableColumn id="44" xr3:uid="{C31B4CAF-A15A-439A-89C7-55FF485770A3}" name="Sarake44" dataDxfId="751" dataCellStyle="Excel Built-in Normal"/>
    <tableColumn id="45" xr3:uid="{79424602-6B0D-4BCE-B3B0-47A19947E09B}" name="Sarake45" dataDxfId="750" dataCellStyle="Excel Built-in Normal"/>
    <tableColumn id="46" xr3:uid="{569DEDF2-FD77-42F2-80B3-D78DD5654CE7}" name="Sarake46" dataDxfId="749" dataCellStyle="Excel Built-in Normal"/>
    <tableColumn id="47" xr3:uid="{1DF54D6E-0A58-4790-8A87-767796C53E2F}" name="Sarake47" dataDxfId="748" dataCellStyle="Excel Built-in Normal"/>
    <tableColumn id="48" xr3:uid="{D4EE871A-B5A8-47BC-BA74-CDDE2333F26B}" name="Sarake48" dataDxfId="747" dataCellStyle="Excel Built-in Normal"/>
    <tableColumn id="49" xr3:uid="{1E435FF5-ED3D-4F0E-ACFB-804F9E31807C}" name="Sarake49" dataDxfId="746" dataCellStyle="Excel Built-in Normal"/>
    <tableColumn id="50" xr3:uid="{F30F0C6B-BA6A-458C-B0CE-CB597E2ABAB0}" name="Sarake50" dataDxfId="745" dataCellStyle="Excel Built-in Normal"/>
    <tableColumn id="51" xr3:uid="{E4A6AAAD-5CE2-481E-8D39-0393B9309CB5}" name="Sarake51" dataDxfId="744" dataCellStyle="Excel Built-in Normal"/>
    <tableColumn id="52" xr3:uid="{DDA18947-1B65-41F6-8F9F-DB3D08A3F064}" name="Sarake52" dataDxfId="743" dataCellStyle="Excel Built-in Normal"/>
    <tableColumn id="53" xr3:uid="{BD5FB9AC-6680-4267-B1E2-00356C08D94B}" name="Sarake53" dataDxfId="742" dataCellStyle="Excel Built-in Normal"/>
    <tableColumn id="103" xr3:uid="{FBEC725F-748B-4201-84D3-9FE063B4756B}" name="Sarake532" dataDxfId="741" dataCellStyle="Excel Built-in Normal"/>
    <tableColumn id="54" xr3:uid="{6C25F9C2-0E6C-47E6-A4C9-4224EF437E4F}" name="Sarake54" dataDxfId="740" dataCellStyle="Excel Built-in Normal"/>
    <tableColumn id="55" xr3:uid="{92C9D64F-8388-4442-95C2-3FDADCE00EA2}" name="Sarake55" dataDxfId="739" dataCellStyle="Excel Built-in Normal"/>
    <tableColumn id="56" xr3:uid="{4BEF1732-9940-4A10-A7B3-FB568D132DEF}" name="Sarake56" dataDxfId="738" dataCellStyle="Excel Built-in Normal"/>
    <tableColumn id="57" xr3:uid="{65998E07-5EDB-489D-A845-090A9879B799}" name="Sarake57" dataDxfId="737" dataCellStyle="Excel Built-in Normal"/>
    <tableColumn id="58" xr3:uid="{90D6D826-BD86-4DBB-8892-85EE480C7483}" name="Sarake58" dataDxfId="736" dataCellStyle="Excel Built-in Normal"/>
    <tableColumn id="59" xr3:uid="{4B519854-B18C-471C-9EF3-AFB018F721F1}" name="Sarake59" dataDxfId="735" dataCellStyle="Excel Built-in Normal"/>
    <tableColumn id="60" xr3:uid="{A87254E1-6ED2-4E52-A6F0-F1109F866060}" name="Sarake60" dataDxfId="734" dataCellStyle="Excel Built-in Normal"/>
    <tableColumn id="61" xr3:uid="{F056C521-5A02-4D58-AD0F-047F525D33A2}" name="Sarake61" dataDxfId="733" dataCellStyle="Excel Built-in Normal"/>
    <tableColumn id="62" xr3:uid="{D60D159E-9163-4955-98CB-83504754C840}" name="Sarake62" dataDxfId="732" dataCellStyle="Excel Built-in Normal"/>
    <tableColumn id="63" xr3:uid="{ACB4A2FD-8719-4FBC-9D7B-71D485A3839C}" name="Sarake63" dataDxfId="731" dataCellStyle="Excel Built-in Normal"/>
    <tableColumn id="64" xr3:uid="{06EF1B30-C498-4EF8-88A6-030A925A1EF7}" name="Sarake64" dataDxfId="730" dataCellStyle="Excel Built-in Normal"/>
    <tableColumn id="65" xr3:uid="{D0068654-4AF9-4711-BA24-5B64A37374EB}" name="Sarake65" dataDxfId="729" dataCellStyle="Excel Built-in Normal"/>
    <tableColumn id="66" xr3:uid="{4C9A1058-00EF-4B82-8E6E-78718AD3C2C1}" name="Sarake66" dataDxfId="728" dataCellStyle="Excel Built-in Normal"/>
    <tableColumn id="67" xr3:uid="{7CB3E249-516B-435E-9B83-E35399F4FA70}" name="Sarake67" dataDxfId="727" dataCellStyle="Excel Built-in Normal"/>
    <tableColumn id="68" xr3:uid="{94ED8311-B2A8-49FD-A785-64DA07BA95D4}" name="Sarake68" dataDxfId="726" dataCellStyle="Excel Built-in Normal"/>
    <tableColumn id="69" xr3:uid="{8259142C-6981-4FFC-A8B7-19833CC56C5E}" name="Sarake69" dataDxfId="725" dataCellStyle="Excel Built-in Normal"/>
    <tableColumn id="70" xr3:uid="{CDA62A7C-A8E4-4F43-8CF8-B8D623C51681}" name="Sarake70" dataDxfId="724" dataCellStyle="Excel Built-in Normal"/>
    <tableColumn id="71" xr3:uid="{10B63B46-FB8D-43E8-BCF3-F7CCD4C0D509}" name="Sarake71" dataDxfId="723" dataCellStyle="Excel Built-in Normal"/>
    <tableColumn id="72" xr3:uid="{D9B3AB64-C729-4A45-B649-52B2F038E148}" name="Sarake72" dataDxfId="722" dataCellStyle="Excel Built-in Normal"/>
    <tableColumn id="73" xr3:uid="{84A87C6C-7EF6-401C-85E0-96022E01567A}" name="Sarake73" dataDxfId="721" dataCellStyle="Excel Built-in Normal"/>
    <tableColumn id="74" xr3:uid="{6E4B9D60-BA21-4F78-9083-259231507247}" name="Sarake74" dataDxfId="720" dataCellStyle="Excel Built-in Normal"/>
    <tableColumn id="75" xr3:uid="{746A6DCB-33EA-4C04-82A4-277E21F6A48A}" name="Sarake75" dataDxfId="719" dataCellStyle="Excel Built-in Normal"/>
    <tableColumn id="76" xr3:uid="{895390A6-E335-4F52-809C-CA56B19230D8}" name="Sarake76" dataDxfId="718" dataCellStyle="Excel Built-in Normal"/>
    <tableColumn id="77" xr3:uid="{3C6FEDE0-EE09-4FA8-B8FE-A037A4C94608}" name="Sarake77" dataDxfId="717" dataCellStyle="Excel Built-in Normal"/>
    <tableColumn id="78" xr3:uid="{AB39AE1F-F47C-4B90-824F-978C7931C717}" name="Sarake78" dataDxfId="716" dataCellStyle="Excel Built-in Normal"/>
    <tableColumn id="79" xr3:uid="{6D290605-07B5-49D8-96A7-3B6E2D277D46}" name="Sarake79" dataDxfId="715" dataCellStyle="Excel Built-in Normal"/>
    <tableColumn id="80" xr3:uid="{88455C95-32CA-4641-8AE8-C50AE16B1541}" name="Sarake80" dataDxfId="714" dataCellStyle="Excel Built-in Normal"/>
    <tableColumn id="81" xr3:uid="{145C0578-CE0E-4572-B4E8-47733379A316}" name="Sarake81" dataDxfId="713" dataCellStyle="Excel Built-in Normal"/>
    <tableColumn id="82" xr3:uid="{310D3CBB-A0EF-4877-A01B-05973A3B0686}" name="Sarake82" dataDxfId="712" dataCellStyle="Excel Built-in Normal"/>
    <tableColumn id="83" xr3:uid="{F5797357-CEE0-448B-9A82-F418450FEBE9}" name="Sarake83" dataDxfId="711" dataCellStyle="Excel Built-in Normal"/>
    <tableColumn id="84" xr3:uid="{E05E5012-B2CB-4D50-857F-9EF573C355EA}" name="Sarake84" dataDxfId="710" dataCellStyle="Excel Built-in Normal"/>
    <tableColumn id="85" xr3:uid="{54391B6E-F5F8-487D-A780-58204A2FC7BB}" name="Sarake85" dataDxfId="709" dataCellStyle="Excel Built-in Normal"/>
    <tableColumn id="86" xr3:uid="{E7163454-1EA3-4832-AD55-E0DB4739463D}" name="Sarake86" dataDxfId="708" dataCellStyle="Excel Built-in Normal"/>
    <tableColumn id="87" xr3:uid="{1C2A1275-47D9-4029-B5FA-8C64986160F2}" name="Sarake87" dataDxfId="707" dataCellStyle="Excel Built-in Normal"/>
    <tableColumn id="88" xr3:uid="{A8B71384-801E-4413-B461-C94371BAEB5F}" name="Sarake88" dataDxfId="706" dataCellStyle="Excel Built-in Normal"/>
    <tableColumn id="89" xr3:uid="{B0FF73FF-F19D-419D-8DDF-F4DD367BCD1A}" name="Sarake89" dataDxfId="705" dataCellStyle="Excel Built-in Normal"/>
    <tableColumn id="90" xr3:uid="{F9A273EE-5F5F-49D9-B33A-CD26C7ACB72F}" name="Sarake90" dataDxfId="704" dataCellStyle="Excel Built-in Normal"/>
    <tableColumn id="91" xr3:uid="{EA34381B-F35D-48E5-9CFA-90B5CED8BEFC}" name="Sarake91" dataDxfId="703" dataCellStyle="Excel Built-in Normal"/>
    <tableColumn id="92" xr3:uid="{E3B0FF8D-21C0-4635-849B-4642783061C1}" name="Sarake92" dataDxfId="702" dataCellStyle="Excel Built-in Normal"/>
    <tableColumn id="93" xr3:uid="{C05E0827-416A-4963-91BB-27A17C613916}" name="Sarake93" dataDxfId="701" dataCellStyle="Excel Built-in Normal"/>
    <tableColumn id="94" xr3:uid="{2EE87BE2-7F57-4C95-BA78-75B71472B9BC}" name="Sarake94" dataDxfId="700" dataCellStyle="Excel Built-in Normal"/>
    <tableColumn id="95" xr3:uid="{A2B66DC7-4128-4DB8-B00D-D102AAC39862}" name="Sarake95" dataDxfId="699" dataCellStyle="Excel Built-in Normal"/>
    <tableColumn id="96" xr3:uid="{3F48FC06-35A7-4E40-A5F7-9E81703DF7E9}" name="Sarake96" dataDxfId="698" dataCellStyle="Excel Built-in Normal"/>
    <tableColumn id="97" xr3:uid="{E905AAAD-B2F8-42EE-ADAC-6DCB9D25736F}" name="Sarake97" dataDxfId="697" dataCellStyle="Excel Built-in Normal"/>
    <tableColumn id="98" xr3:uid="{8CEF5AC1-75FA-48D2-B97B-4A1CDF89C04E}" name="Sarake98" dataDxfId="696" dataCellStyle="Excel Built-in Normal"/>
    <tableColumn id="99" xr3:uid="{8BB4BDD2-3DD1-4CCB-8F43-79FC00B17BA0}" name="Sarake99" dataDxfId="695" dataCellStyle="Excel Built-in Normal"/>
    <tableColumn id="100" xr3:uid="{C84C24A2-3040-414B-BF82-992EDCC9EC9F}" name="Sarake100" dataDxfId="694" dataCellStyle="Excel Built-in Normal"/>
    <tableColumn id="101" xr3:uid="{C40FABE8-6C23-4D44-A400-2923DEA7D261}" name="Sarake101" dataDxfId="693" dataCellStyle="Excel Built-in Normal"/>
    <tableColumn id="102" xr3:uid="{7B13EEB9-E3F1-45D7-AA61-FB6A369E3DBE}" name="Hakua varten" dataDxfId="692" dataCellStyle="Excel Built-in Normal"/>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4F9439DB-614C-405D-97B4-1D1C5598912F}" name="Taulukko12" displayName="Taulukko12" ref="AJ63:EH68" totalsRowShown="0" headerRowDxfId="691" dataDxfId="690" headerRowCellStyle="Excel Built-in Normal" dataCellStyle="Excel Built-in Normal">
  <autoFilter ref="AJ63:EH68" xr:uid="{A513E4B5-50F1-4DE0-A064-CB83A04572E4}"/>
  <tableColumns count="103">
    <tableColumn id="1" xr3:uid="{13C5774A-9FAD-43D1-A856-0439AF62BDAE}" name="Restricted" dataDxfId="689" dataCellStyle="Excel Built-in Normal 2"/>
    <tableColumn id="2" xr3:uid="{7938B5A2-9CF0-4100-9F46-A2C61AB745AE}" name="Dragonborn" dataDxfId="688" dataCellStyle="Excel Built-in Normal 2"/>
    <tableColumn id="3" xr3:uid="{8BF5884A-B68A-4550-9101-C9DA91F60AC1}" name="Drow" dataDxfId="687" dataCellStyle="Excel Built-in Normal"/>
    <tableColumn id="4" xr3:uid="{7422CBAE-B2AD-41E6-B746-D20579B9E7B8}" name="Drow2" dataDxfId="686" dataCellStyle="Excel Built-in Normal"/>
    <tableColumn id="5" xr3:uid="{5D519CA1-7B63-460F-9264-A2D518DA413E}" name="Dwarf" dataDxfId="685" dataCellStyle="Excel Built-in Normal 2"/>
    <tableColumn id="6" xr3:uid="{E33574FF-3903-4FA0-B235-936247CB1759}" name="Dwarf3" dataDxfId="684" dataCellStyle="Excel Built-in Normal 2"/>
    <tableColumn id="7" xr3:uid="{6F39E011-C2F2-4821-B18E-336CB434697C}" name="Dwarf4" dataDxfId="683" dataCellStyle="Excel Built-in Normal 2"/>
    <tableColumn id="8" xr3:uid="{3CD63907-0E94-4399-B46E-8F06638A7C9B}" name="Elf" dataDxfId="682" dataCellStyle="Excel Built-in Normal 2"/>
    <tableColumn id="9" xr3:uid="{400A7AF9-303C-447D-934B-868C4836CE0C}" name="Elf5" dataDxfId="681" dataCellStyle="Excel Built-in Normal 2"/>
    <tableColumn id="10" xr3:uid="{A57BEBC7-A495-4490-B482-CD6CD4655C38}" name="Elf6" dataDxfId="680" dataCellStyle="Excel Built-in Normal 2"/>
    <tableColumn id="11" xr3:uid="{A676E8DD-0259-4249-9B66-6966597374DC}" name="Elf7" dataDxfId="679" dataCellStyle="Excel Built-in Normal 2"/>
    <tableColumn id="12" xr3:uid="{37607B35-2B3E-45D8-B3DD-45B38A67B81B}" name="Elf8" dataDxfId="678" dataCellStyle="Excel Built-in Normal 2"/>
    <tableColumn id="13" xr3:uid="{5DA9D8A5-AE83-457C-AC33-B28AA1741F6F}" name="Elf9" dataDxfId="677" dataCellStyle="Excel Built-in Normal 2"/>
    <tableColumn id="14" xr3:uid="{27AEFE50-A7B0-465A-8B8F-8A767F0D600C}" name="Gnome" dataDxfId="676" dataCellStyle="Excel Built-in Normal 2"/>
    <tableColumn id="15" xr3:uid="{FB0DD409-8078-4DAD-922C-FEB32D67C504}" name="Gnome10" dataDxfId="675" dataCellStyle="Excel Built-in Normal 2"/>
    <tableColumn id="16" xr3:uid="{427BC108-B75A-4081-8666-7FC23BFDCE7B}" name="Gnome11" dataDxfId="674" dataCellStyle="Excel Built-in Normal 2"/>
    <tableColumn id="17" xr3:uid="{EFE3F12A-9CA9-4B23-AE54-CF960E9F27EC}" name="Halfling" dataDxfId="673" dataCellStyle="Excel Built-in Normal 2"/>
    <tableColumn id="18" xr3:uid="{0FB95DC8-4778-4DEA-9A6E-B8C2C1947E01}" name="Halfling12" dataDxfId="672" dataCellStyle="Excel Built-in Normal 2"/>
    <tableColumn id="19" xr3:uid="{6F88ECD8-48EF-45BB-8DEB-9B4D87F16FF4}" name="Halfling13" dataDxfId="671" dataCellStyle="Excel Built-in Normal 2"/>
    <tableColumn id="20" xr3:uid="{9C4FD82C-067A-4A51-B579-094751468CBA}" name="Human" dataDxfId="670" dataCellStyle="Excel Built-in Normal 2"/>
    <tableColumn id="21" xr3:uid="{7440377A-1C52-46D4-B027-41AE246BF22A}" name="Human14" dataDxfId="669" dataCellStyle="Excel Built-in Normal 2"/>
    <tableColumn id="22" xr3:uid="{DAEC5FC1-0B48-4980-ACBF-EAE21444B29D}" name="Human15" dataDxfId="668" dataCellStyle="Excel Built-in Normal 2"/>
    <tableColumn id="23" xr3:uid="{E9FD67E9-A6E6-41B5-BAE3-E58309FBDFB6}" name="Human16" dataDxfId="667" dataCellStyle="Excel Built-in Normal 2"/>
    <tableColumn id="24" xr3:uid="{4C5EB296-2B6C-4585-929C-D9C475EE2657}" name="Human17" dataDxfId="666" dataCellStyle="Excel Built-in Normal 2"/>
    <tableColumn id="25" xr3:uid="{41E05D53-96A7-4A55-977D-9BB0311C7B3C}" name="Human18" dataDxfId="665" dataCellStyle="Excel Built-in Normal 2"/>
    <tableColumn id="26" xr3:uid="{00BBE5E2-9133-4761-9267-B1DCD064F3B9}" name="Human19" dataDxfId="664" dataCellStyle="Excel Built-in Normal 2"/>
    <tableColumn id="27" xr3:uid="{BF13AEFE-77C0-4E13-89BB-EAFEF02A4335}" name="Human20" dataDxfId="663" dataCellStyle="Excel Built-in Normal 2"/>
    <tableColumn id="28" xr3:uid="{B852B54A-D778-43B1-BDA5-BEECA6FAC6B7}" name="Human21" dataDxfId="662" dataCellStyle="Excel Built-in Normal 2"/>
    <tableColumn id="29" xr3:uid="{8F2575F5-BC6C-4788-ADB9-2566A3FF14CC}" name="Human22" dataDxfId="661" dataCellStyle="Excel Built-in Normal 2"/>
    <tableColumn id="30" xr3:uid="{5D96DBA2-FE57-4A2C-8E57-4F14D57D7C29}" name="Human23" dataDxfId="660" dataCellStyle="Excel Built-in Normal 2"/>
    <tableColumn id="31" xr3:uid="{E9C6EA85-300F-4568-87BF-93091189CDA8}" name="Human24" dataDxfId="659" dataCellStyle="Excel Built-in Normal 2"/>
    <tableColumn id="32" xr3:uid="{A2A1B61C-B5BF-49E7-A692-2DA18D910CEC}" name="Human25" dataDxfId="658" dataCellStyle="Excel Built-in Normal 2"/>
    <tableColumn id="33" xr3:uid="{B9C0408A-08D4-4071-BBFB-4F9F21670806}" name="Human26" dataDxfId="657" dataCellStyle="Excel Built-in Normal 2"/>
    <tableColumn id="34" xr3:uid="{80CF5132-1A33-4BC3-A55B-44E23D69D475}" name="Human27" dataDxfId="656" dataCellStyle="Excel Built-in Normal 2"/>
    <tableColumn id="35" xr3:uid="{6A7A8BB7-1634-4830-BC6F-C9CBF435AB8D}" name="Human28" dataDxfId="655" dataCellStyle="Excel Built-in Normal 2"/>
    <tableColumn id="36" xr3:uid="{5DE748D4-EB5A-4AD4-BB91-A7E29279C0ED}" name="Human29" dataDxfId="654" dataCellStyle="Excel Built-in Normal 2"/>
    <tableColumn id="37" xr3:uid="{A2066202-C340-4DAA-88A7-16921E8F7703}" name="Human30" dataDxfId="653" dataCellStyle="Excel Built-in Normal 2"/>
    <tableColumn id="38" xr3:uid="{2A1E0772-837E-41E0-91E3-15C28857249C}" name="Orc" dataDxfId="652" dataCellStyle="Excel Built-in Normal 2"/>
    <tableColumn id="39" xr3:uid="{151B8D38-9ACC-48CD-ABA3-9F15191770E5}" name="Orc31" dataDxfId="651" dataCellStyle="Excel Built-in Normal 2"/>
    <tableColumn id="40" xr3:uid="{AF8E767E-D09A-4D05-B57E-810E504F46E6}" name="Arhunerim" dataDxfId="650" dataCellStyle="Excel Built-in Normal"/>
    <tableColumn id="41" xr3:uid="{8F6E5D01-0D27-4B9C-935B-E987B163A7AA}" name="Arhunerim32" dataDxfId="649" dataCellStyle="Excel Built-in Normal"/>
    <tableColumn id="42" xr3:uid="{363A3F91-480F-4E36-B65C-BBAE9BC72BD0}" name="Common man" dataDxfId="648" dataCellStyle="Excel Built-in Normal"/>
    <tableColumn id="43" xr3:uid="{E69A4F00-669E-47A6-A269-2B2A0A48E0F2}" name="Common man33" dataDxfId="647" dataCellStyle="Excel Built-in Normal"/>
    <tableColumn id="44" xr3:uid="{5B7AFB2E-9CEA-4365-8706-2F22CE54BDDC}" name="High Men" dataDxfId="646" dataCellStyle="Excel Built-in Normal"/>
    <tableColumn id="45" xr3:uid="{2476AB64-8557-4A1D-84B5-AAD07D542FCC}" name="High Men34" dataDxfId="645" dataCellStyle="Excel Built-in Normal"/>
    <tableColumn id="46" xr3:uid="{E9115A97-6CFF-44F0-9496-A0FEF568629E}" name="High Men35" dataDxfId="644" dataCellStyle="Excel Built-in Normal"/>
    <tableColumn id="47" xr3:uid="{6685AE04-38FB-496D-AB68-59F44F8C2188}" name="High Men36" dataDxfId="643" dataCellStyle="Excel Built-in Normal"/>
    <tableColumn id="48" xr3:uid="{127BAAF1-B2B3-4426-8BDD-D0DC21847282}" name="High Men37" dataDxfId="642" dataCellStyle="Excel Built-in Normal"/>
    <tableColumn id="49" xr3:uid="{D6FA846A-84E1-40AA-BADB-4FBA9349DC82}" name="Corsair" dataDxfId="641" dataCellStyle="Excel Built-in Normal"/>
    <tableColumn id="50" xr3:uid="{326CE2F7-8749-4583-ACC0-2993A70B1AEE}" name="High Men38" dataDxfId="640" dataCellStyle="Excel Built-in Normal"/>
    <tableColumn id="51" xr3:uid="{D7751AED-AFA3-4DDE-9F59-B5BC31C7614E}" name="High Men39" dataDxfId="639" dataCellStyle="Excel Built-in Normal"/>
    <tableColumn id="52" xr3:uid="{FD46B4B0-F148-4336-83D5-83B1BD37E790}" name="High Men40" dataDxfId="638" dataCellStyle="Excel Built-in Normal"/>
    <tableColumn id="53" xr3:uid="{42CA49ED-FA9A-4FF9-AE56-C98CC022B3E0}" name="Dwarf41" dataDxfId="637" dataCellStyle="Excel Built-in Normal"/>
    <tableColumn id="103" xr3:uid="{D93B9B07-5ADC-490C-8239-E1DFC5F2908B}" name="Lossedel" dataDxfId="636" dataCellStyle="Excel Built-in Normal"/>
    <tableColumn id="54" xr3:uid="{A9CADB95-65FC-43A6-9566-3B076D30E6F9}" name="Noldo" dataDxfId="635" dataCellStyle="Excel Built-in Normal"/>
    <tableColumn id="55" xr3:uid="{3A0715F3-2CA4-47C1-A688-79EFD094E5AA}" name="Silvan" dataDxfId="634" dataCellStyle="Excel Built-in Normal"/>
    <tableColumn id="56" xr3:uid="{CA8720F5-C991-4655-8239-DBBDA6F844F6}" name="Sinda" dataDxfId="633" dataCellStyle="Excel Built-in Normal"/>
    <tableColumn id="57" xr3:uid="{32ACF4AD-23B9-4C6F-90D4-661B701DA351}" name="Half Elf" dataDxfId="632" dataCellStyle="Excel Built-in Normal"/>
    <tableColumn id="58" xr3:uid="{866E2879-194B-475E-B7E0-EACCDC66352B}" name="Eriedain" dataDxfId="631" dataCellStyle="Excel Built-in Normal"/>
    <tableColumn id="59" xr3:uid="{B2875D92-4737-4C0B-863B-73B624708A94}" name="Bear tribes" dataDxfId="630" dataCellStyle="Excel Built-in Normal"/>
    <tableColumn id="60" xr3:uid="{E2DD8E81-7FF2-4D47-B84C-99D6F11C3E3F}" name="Eriedain42" dataDxfId="629" dataCellStyle="Excel Built-in Normal"/>
    <tableColumn id="61" xr3:uid="{0E57A9E2-7868-4ACC-9505-C2A480936716}" name="Eriedain43" dataDxfId="628" dataCellStyle="Excel Built-in Normal"/>
    <tableColumn id="62" xr3:uid="{1CA236CE-6308-4B26-A1DE-E8F6F5024842}" name="Eriedain44" dataDxfId="627" dataCellStyle="Excel Built-in Normal"/>
    <tableColumn id="63" xr3:uid="{873A79AF-C6B2-4BC0-BEBA-02266348B781}" name="Eriedain45" dataDxfId="626" dataCellStyle="Excel Built-in Normal"/>
    <tableColumn id="64" xr3:uid="{FB33A744-7683-42ED-944F-C20D58DC6A25}" name="Eriedain46" dataDxfId="625" dataCellStyle="Excel Built-in Normal"/>
    <tableColumn id="65" xr3:uid="{FA93C08E-BD5F-4EF6-9B85-73DB00440DB8}" name="Eriedain47" dataDxfId="624" dataCellStyle="Excel Built-in Normal"/>
    <tableColumn id="66" xr3:uid="{16770797-5854-47BE-8C7D-21458E929AE3}" name="Eriedain48" dataDxfId="623" dataCellStyle="Excel Built-in Normal"/>
    <tableColumn id="67" xr3:uid="{D8B9BC54-39E7-4CC6-BA60-B8F22F18276D}" name="Eriedain49" dataDxfId="622" dataCellStyle="Excel Built-in Normal"/>
    <tableColumn id="68" xr3:uid="{87FA3BE1-6E6B-4EA0-ABB7-53DE2D686614}" name="Haradrim, N" dataDxfId="621" dataCellStyle="Excel Built-in Normal"/>
    <tableColumn id="69" xr3:uid="{7152E24A-A17C-47FB-8C50-E180D8BDCE69}" name="Haradrim, S" dataDxfId="620" dataCellStyle="Excel Built-in Normal"/>
    <tableColumn id="70" xr3:uid="{2FC7A598-DA1C-45DF-A3BE-B5F78B1CA69B}" name="Hobbit" dataDxfId="619" dataCellStyle="Excel Built-in Normal"/>
    <tableColumn id="71" xr3:uid="{4B1F62D6-585D-459B-BB46-9EFF429B2B05}" name="Hobbit50" dataDxfId="618" dataCellStyle="Excel Built-in Normal"/>
    <tableColumn id="72" xr3:uid="{AC294CF6-0AE3-491F-AF93-6BCC2B296233}" name="Hobbit51" dataDxfId="617" dataCellStyle="Excel Built-in Normal"/>
    <tableColumn id="73" xr3:uid="{44C0FB18-BF9D-442A-9F26-5FE8521781C8}" name="Lossoth" dataDxfId="616" dataCellStyle="Excel Built-in Normal"/>
    <tableColumn id="74" xr3:uid="{F9050CBF-1E2F-4428-8C03-385FEB07A30A}" name="Lossoth52" dataDxfId="615" dataCellStyle="Excel Built-in Normal"/>
    <tableColumn id="75" xr3:uid="{91F1187E-6A02-4496-A541-928F19D2AAFF}" name="Lossoth53" dataDxfId="614" dataCellStyle="Excel Built-in Normal"/>
    <tableColumn id="76" xr3:uid="{562AC465-888D-44E3-92BA-5DF236D960F5}" name="Lossoth54" dataDxfId="613" dataCellStyle="Excel Built-in Normal"/>
    <tableColumn id="77" xr3:uid="{B910635D-5A79-4021-AC67-BB2A53FFE173}" name="Talatherim" dataDxfId="612" dataCellStyle="Excel Built-in Normal"/>
    <tableColumn id="78" xr3:uid="{CBDB7077-A6F1-4BB6-9CA2-07A9F709EEC2}" name="Talatherim55" dataDxfId="611" dataCellStyle="Excel Built-in Normal"/>
    <tableColumn id="79" xr3:uid="{7A5961A0-6366-4194-AD20-07AE23EF52FB}" name="Talatherim56" dataDxfId="610" dataCellStyle="Excel Built-in Normal"/>
    <tableColumn id="80" xr3:uid="{6B7ABD6A-40CD-4F03-A488-10607B1109CA}" name="Talatherim57" dataDxfId="609" dataCellStyle="Excel Built-in Normal"/>
    <tableColumn id="81" xr3:uid="{6FFC61E2-3A2F-4B4B-A73F-15C4F9C8C771}" name="Talatherim58" dataDxfId="608" dataCellStyle="Excel Built-in Normal"/>
    <tableColumn id="82" xr3:uid="{D95E7F61-BB16-44B5-A648-AD0B7522224C}" name="Talatherim59" dataDxfId="607" dataCellStyle="Excel Built-in Normal"/>
    <tableColumn id="83" xr3:uid="{BC3E3856-9CA2-48C7-B6F5-1F132203B850}" name="Talatherim60" dataDxfId="606" dataCellStyle="Excel Built-in Normal"/>
    <tableColumn id="84" xr3:uid="{F4115148-E6EF-4437-A339-EC4229DD6185}" name="Talatherim61" dataDxfId="605" dataCellStyle="Excel Built-in Normal"/>
    <tableColumn id="85" xr3:uid="{3AADFCB0-76B4-4C8F-B87A-5856EB000C0D}" name="Talatherim62" dataDxfId="604" dataCellStyle="Excel Built-in Normal"/>
    <tableColumn id="86" xr3:uid="{3698075A-C42F-491E-81E5-EA27294F60CF}" name="Chey" dataDxfId="603" dataCellStyle="Excel Built-in Normal"/>
    <tableColumn id="87" xr3:uid="{F0D13033-5CBE-40B7-9377-B94AEC96E245}" name="Womaw" dataDxfId="602" dataCellStyle="Excel Built-in Normal"/>
    <tableColumn id="88" xr3:uid="{1E1F0319-1416-4B60-B606-5CAB67A76CF1}" name="Urd" dataDxfId="601" dataCellStyle="Excel Built-in Normal"/>
    <tableColumn id="89" xr3:uid="{6A8EE0E0-B19D-4C2F-8774-A7D14AC39D77}" name="Umli" dataDxfId="600" dataCellStyle="Excel Built-in Normal"/>
    <tableColumn id="90" xr3:uid="{CE4D2BA9-4EFD-4D0F-913C-1C746B73F66A}" name="Woses" dataDxfId="599" dataCellStyle="Excel Built-in Normal"/>
    <tableColumn id="91" xr3:uid="{975505C4-3527-4962-8738-E92F7BC0C988}" name="Common Orc" dataDxfId="598" dataCellStyle="Excel Built-in Normal"/>
    <tableColumn id="92" xr3:uid="{C7F00750-07E0-4B95-AA43-68060492986C}" name="Uruk-Hai" dataDxfId="597" dataCellStyle="Excel Built-in Normal"/>
    <tableColumn id="93" xr3:uid="{2DBDDA15-46EA-462C-85E2-1163D7BD3BC3}" name="Half Orcs" dataDxfId="596" dataCellStyle="Excel Built-in Normal"/>
    <tableColumn id="94" xr3:uid="{3477C0DE-A185-48C8-B803-A3F380707FD1}" name="Trolls" dataDxfId="595" dataCellStyle="Excel Built-in Normal"/>
    <tableColumn id="95" xr3:uid="{54116A88-7F25-4BEB-B434-39EDA96D4B69}" name="Trolls63" dataDxfId="594" dataCellStyle="Excel Built-in Normal"/>
    <tableColumn id="96" xr3:uid="{340EC504-3CD9-4300-9255-A7F7BC7B0755}" name="Trolls64" dataDxfId="593" dataCellStyle="Excel Built-in Normal"/>
    <tableColumn id="97" xr3:uid="{2E5A2C35-30BB-49C8-96A0-D8051B9B5E7F}" name="Trolls65" dataDxfId="592" dataCellStyle="Excel Built-in Normal"/>
    <tableColumn id="98" xr3:uid="{99902A1F-0DB4-40EA-968D-18D9F269B77A}" name="Trolls66" dataDxfId="591" dataCellStyle="Excel Built-in Normal"/>
    <tableColumn id="99" xr3:uid="{C9BEC8CD-8D6B-48E6-8D89-58AAA2581674}" name="Trolls67" dataDxfId="590" dataCellStyle="Excel Built-in Normal"/>
    <tableColumn id="100" xr3:uid="{A9AA993A-F2F4-4371-A833-A4898A39FF88}" name="Sarake68" dataDxfId="589" dataCellStyle="Excel Built-in Normal"/>
    <tableColumn id="101" xr3:uid="{1B43EF23-7213-48F1-9DAD-4D0541747B47}" name="Sarake69" dataDxfId="588" dataCellStyle="Excel Built-in Normal"/>
    <tableColumn id="102" xr3:uid="{4F42489E-AA98-4D96-8DE9-A6A8792B9276}" name="Hakua varten" dataDxfId="587" dataCellStyle="Excel Built-in Normal"/>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9BB6D5FE-BD8D-47FC-B274-974D80C97FDB}" name="Taulukko13" displayName="Taulukko13" ref="AJ71:EH119" totalsRowShown="0" headerRowDxfId="586" dataDxfId="585" headerRowCellStyle="Excel Built-in Normal" dataCellStyle="Excel Built-in Normal">
  <autoFilter ref="AJ71:EH119" xr:uid="{830C80F2-410E-4D6C-9080-E1F968EDE831}"/>
  <tableColumns count="103">
    <tableColumn id="1" xr3:uid="{A38D6FE8-2805-40C3-9EA7-3E751BE0EACE}" name="Standard" dataDxfId="584" dataCellStyle="Excel Built-in Normal 2"/>
    <tableColumn id="2" xr3:uid="{797FEA24-912E-480E-916B-CE26168DEB89}" name="Dragonborn" dataDxfId="583" dataCellStyle="Excel Built-in Normal 2"/>
    <tableColumn id="3" xr3:uid="{F5684F7C-6A18-40B2-A961-44B9D6205A73}" name="Drow" dataDxfId="582" dataCellStyle="Excel Built-in Normal 2"/>
    <tableColumn id="4" xr3:uid="{82D647B1-3BC3-4733-8BB9-52C97B49B4DC}" name="Drow2" dataDxfId="581" dataCellStyle="Excel Built-in Normal 2"/>
    <tableColumn id="5" xr3:uid="{1F1AFF25-3B77-40C6-BD83-9FCFFCFAE1C5}" name="Dwarf" dataDxfId="580" dataCellStyle="Excel Built-in Normal 2"/>
    <tableColumn id="6" xr3:uid="{E3504E07-FEE4-4E0A-AC0A-067BF93F6741}" name="Dwarf3" dataDxfId="579" dataCellStyle="Excel Built-in Normal 2"/>
    <tableColumn id="7" xr3:uid="{88222318-6B75-4F8A-BFC9-4E8365E4E91A}" name="Dwarf4" dataDxfId="578" dataCellStyle="Excel Built-in Normal 2"/>
    <tableColumn id="8" xr3:uid="{16C3C945-9226-4239-AAD1-932BD55BF7E0}" name="Elf" dataDxfId="577" dataCellStyle="Excel Built-in Normal 2"/>
    <tableColumn id="9" xr3:uid="{575F936D-D46B-4714-8047-A285EAD28B07}" name="Elf5" dataDxfId="576" dataCellStyle="Excel Built-in Normal 2"/>
    <tableColumn id="10" xr3:uid="{73B46351-7311-4850-8F16-33993C22C9B1}" name="Elf6" dataDxfId="575" dataCellStyle="Excel Built-in Normal 2"/>
    <tableColumn id="11" xr3:uid="{E95CA37F-A582-4169-B17F-2B74C4014958}" name="Elf7" dataDxfId="574" dataCellStyle="Excel Built-in Normal 2"/>
    <tableColumn id="12" xr3:uid="{92D1EEB6-6CA5-4B1F-86F3-19EF6F20355C}" name="Elf8" dataDxfId="573" dataCellStyle="Excel Built-in Normal 2"/>
    <tableColumn id="13" xr3:uid="{299A6558-6331-468C-B501-2F1AE02A1D71}" name="Elf9" dataDxfId="572" dataCellStyle="Excel Built-in Normal 2"/>
    <tableColumn id="14" xr3:uid="{B5766163-7ED9-4F04-95C2-FEF472C86816}" name="Gnome" dataDxfId="571" dataCellStyle="Excel Built-in Normal 2"/>
    <tableColumn id="15" xr3:uid="{42270209-3E84-49FF-85A3-2EDD1AE59DDA}" name="Gnome10" dataDxfId="570" dataCellStyle="Excel Built-in Normal 2"/>
    <tableColumn id="16" xr3:uid="{84813036-E5DA-479A-B063-BB6690014AF3}" name="Gnome11" dataDxfId="569" dataCellStyle="Excel Built-in Normal 2"/>
    <tableColumn id="17" xr3:uid="{0C45532C-DB68-492F-A001-F98878C34EBA}" name="Halfling" dataDxfId="568" dataCellStyle="Excel Built-in Normal 2"/>
    <tableColumn id="18" xr3:uid="{67623701-5DDF-4AF9-BA0F-E89AC62EC195}" name="Halfling12" dataDxfId="567" dataCellStyle="Excel Built-in Normal 2"/>
    <tableColumn id="19" xr3:uid="{3E90934B-4722-4C83-B468-486E6C855378}" name="Halfling13" dataDxfId="566" dataCellStyle="Excel Built-in Normal 2"/>
    <tableColumn id="20" xr3:uid="{61D6D5D6-A3B2-4E70-B6F6-6F2CC86316E6}" name="Human" dataDxfId="565" dataCellStyle="Excel Built-in Normal 2"/>
    <tableColumn id="21" xr3:uid="{66F479F9-4B06-4CA8-9304-7A1B65F3F69A}" name="Human14" dataDxfId="564" dataCellStyle="Excel Built-in Normal 2"/>
    <tableColumn id="22" xr3:uid="{022F63A0-8569-4B93-8ACC-2C2D18ABDF7E}" name="Human15" dataDxfId="563" dataCellStyle="Excel Built-in Normal 2"/>
    <tableColumn id="23" xr3:uid="{3DD016D4-A6A7-41C4-A008-28F20528BEA4}" name="Human16" dataDxfId="562" dataCellStyle="Excel Built-in Normal 2"/>
    <tableColumn id="24" xr3:uid="{9BD5F119-B495-46EF-A21A-07975241783B}" name="Human17" dataDxfId="561" dataCellStyle="Excel Built-in Normal 2"/>
    <tableColumn id="25" xr3:uid="{BA86C26D-BC19-4C5F-8C57-FFD4AA95454D}" name="Human18" dataDxfId="560" dataCellStyle="Excel Built-in Normal 2"/>
    <tableColumn id="26" xr3:uid="{439A3F0E-790B-4D04-BF17-2D30D3F4827F}" name="Human19" dataDxfId="559" dataCellStyle="Excel Built-in Normal 2"/>
    <tableColumn id="27" xr3:uid="{D0971975-6A06-4154-B366-C36FB5BC596A}" name="Human20" dataDxfId="558" dataCellStyle="Excel Built-in Normal 2"/>
    <tableColumn id="28" xr3:uid="{5922331C-43EF-4A1B-813D-072214323AD7}" name="Human21" dataDxfId="557" dataCellStyle="Excel Built-in Normal 2"/>
    <tableColumn id="29" xr3:uid="{0A5CA1F0-EF66-456F-B7C7-CFD988FD86F8}" name="Human22" dataDxfId="556" dataCellStyle="Excel Built-in Normal 2"/>
    <tableColumn id="30" xr3:uid="{FD6D7603-79EC-4056-BB69-7614042C895C}" name="Human23" dataDxfId="555" dataCellStyle="Excel Built-in Normal 2"/>
    <tableColumn id="31" xr3:uid="{FE4C087B-B20A-4449-80A7-A6D3EB55A56B}" name="Human24" dataDxfId="554" dataCellStyle="Excel Built-in Normal 2"/>
    <tableColumn id="32" xr3:uid="{4758CA13-9EF1-4007-835E-DC98A51A7E81}" name="Human25" dataDxfId="553" dataCellStyle="Excel Built-in Normal 2"/>
    <tableColumn id="33" xr3:uid="{4D5C3FA5-E5E6-4196-A604-E3E71B7649E8}" name="Human26" dataDxfId="552" dataCellStyle="Excel Built-in Normal 2"/>
    <tableColumn id="34" xr3:uid="{EEE602AF-20DD-4479-AE77-CDEFC36A2A63}" name="Human27" dataDxfId="551" dataCellStyle="Excel Built-in Normal 2"/>
    <tableColumn id="35" xr3:uid="{8DD9F750-F5E6-444A-B2CD-24400D2517AD}" name="Human28" dataDxfId="550" dataCellStyle="Excel Built-in Normal 2"/>
    <tableColumn id="36" xr3:uid="{2F946AE1-5ED0-44B4-86BB-209020CF9E92}" name="Human29" dataDxfId="549" dataCellStyle="Excel Built-in Normal 2"/>
    <tableColumn id="37" xr3:uid="{683A27DF-5221-44B0-816A-431485CC6A2E}" name="Human30" dataDxfId="548" dataCellStyle="Excel Built-in Normal 2"/>
    <tableColumn id="38" xr3:uid="{BC7E544B-6A0F-4302-8D63-403A0DD1ADB4}" name="Orc" dataDxfId="547" dataCellStyle="Excel Built-in Normal 2"/>
    <tableColumn id="39" xr3:uid="{0EC7F217-03F0-425C-8E19-1DB216F1ED06}" name="Orc31" dataDxfId="546" dataCellStyle="Excel Built-in Normal 2"/>
    <tableColumn id="40" xr3:uid="{1DB3DB5F-795A-4BB1-B923-DA7FA12A932F}" name="Arhunerim" dataDxfId="545" dataCellStyle="Excel Built-in Normal"/>
    <tableColumn id="41" xr3:uid="{6BD07E94-B15E-449B-8443-01E2FC2C6AB5}" name="Arhunerim32" dataDxfId="544" dataCellStyle="Excel Built-in Normal"/>
    <tableColumn id="42" xr3:uid="{CDEF0ED6-3782-46D4-AFBD-BF562741F5BD}" name="Common man" dataDxfId="543" dataCellStyle="Excel Built-in Normal"/>
    <tableColumn id="43" xr3:uid="{2A665186-6ED4-4E20-A0CB-754A5DC30D42}" name="Common man33" dataDxfId="542" dataCellStyle="Excel Built-in Normal"/>
    <tableColumn id="44" xr3:uid="{551FEAF1-79C8-46B1-823D-986529B6131E}" name="High Men" dataDxfId="541" dataCellStyle="Excel Built-in Normal"/>
    <tableColumn id="45" xr3:uid="{73DD3187-2F4C-4CD1-97E5-5CF30DF25378}" name="High Men34" dataDxfId="540" dataCellStyle="Excel Built-in Normal"/>
    <tableColumn id="46" xr3:uid="{608DD9B3-B193-4BE2-9793-80285A43761F}" name="High Men35" dataDxfId="539" dataCellStyle="Excel Built-in Normal"/>
    <tableColumn id="47" xr3:uid="{C46A279B-BA6D-4F59-A82E-9F91E551525A}" name="High Men36" dataDxfId="538" dataCellStyle="Excel Built-in Normal"/>
    <tableColumn id="48" xr3:uid="{0E725F7D-1CED-4F26-8CC7-167367D34B77}" name="High Men37" dataDxfId="537" dataCellStyle="Excel Built-in Normal"/>
    <tableColumn id="49" xr3:uid="{A54D14B9-2336-4078-8B82-113BECA0A6ED}" name="Corsair" dataDxfId="536" dataCellStyle="Excel Built-in Normal"/>
    <tableColumn id="50" xr3:uid="{E7A518B8-39A5-40F8-BF80-3F9B4B0030D6}" name="High Men38" dataDxfId="535" dataCellStyle="Excel Built-in Normal"/>
    <tableColumn id="51" xr3:uid="{DCDF3C0E-9AC1-421C-B881-2459DF7BDF9F}" name="High Men39" dataDxfId="534" dataCellStyle="Excel Built-in Normal"/>
    <tableColumn id="52" xr3:uid="{1BC14A76-2274-46D6-9504-DCE3BD2C7B28}" name="High Men40" dataDxfId="533" dataCellStyle="Excel Built-in Normal"/>
    <tableColumn id="53" xr3:uid="{4C3DF02D-E3CB-4A0D-917A-9851792CC2A1}" name="Dwarf41" dataDxfId="532" dataCellStyle="Excel Built-in Normal"/>
    <tableColumn id="103" xr3:uid="{B5956A43-FB4C-480F-96C1-930DC422D0D1}" name="Lossedel" dataDxfId="531" dataCellStyle="Excel Built-in Normal"/>
    <tableColumn id="54" xr3:uid="{69659587-764E-4C0F-AE09-EC75B241708D}" name="Noldo" dataDxfId="530" dataCellStyle="Excel Built-in Normal"/>
    <tableColumn id="55" xr3:uid="{CF073E32-445B-4FDC-8AC2-6D1FE5860D27}" name="Silvan" dataDxfId="529" dataCellStyle="Excel Built-in Normal"/>
    <tableColumn id="56" xr3:uid="{91C912D8-49FE-4EE6-81AF-7E7F633C3E22}" name="Sinda" dataDxfId="528" dataCellStyle="Excel Built-in Normal"/>
    <tableColumn id="57" xr3:uid="{4D97F082-70FC-4848-AEEE-000C0EC8C526}" name="Half Elf" dataDxfId="527" dataCellStyle="Excel Built-in Normal"/>
    <tableColumn id="58" xr3:uid="{6DA5204A-7A21-4CDA-8C92-E1B9944427C5}" name="Eriedain" dataDxfId="526" dataCellStyle="Excel Built-in Normal"/>
    <tableColumn id="59" xr3:uid="{1EA75A00-7CB1-4D9B-976A-E50800E019D7}" name="Bear tribes" dataDxfId="525" dataCellStyle="Excel Built-in Normal"/>
    <tableColumn id="60" xr3:uid="{832DEEBA-5B28-4F69-8B37-DC5DD4B972CF}" name="Eriedain42" dataDxfId="524" dataCellStyle="Excel Built-in Normal"/>
    <tableColumn id="61" xr3:uid="{59BBD407-8014-4477-882D-9907AFD2CAC6}" name="Eriedain43" dataDxfId="523" dataCellStyle="Excel Built-in Normal"/>
    <tableColumn id="62" xr3:uid="{9300B748-38ED-438F-A441-B9CFF97EC397}" name="Eriedain44" dataDxfId="522" dataCellStyle="Excel Built-in Normal"/>
    <tableColumn id="63" xr3:uid="{77EDFBE8-B8B3-4953-893F-2B679D31C4E6}" name="Eriedain45" dataDxfId="521" dataCellStyle="Excel Built-in Normal"/>
    <tableColumn id="64" xr3:uid="{A15008FF-1494-4976-9108-77FD693C74D9}" name="Eriedain46" dataDxfId="520" dataCellStyle="Excel Built-in Normal"/>
    <tableColumn id="65" xr3:uid="{AB42A27E-3B0F-4631-AB58-EBF8FB19A23B}" name="Eriedain47" dataDxfId="519" dataCellStyle="Excel Built-in Normal"/>
    <tableColumn id="66" xr3:uid="{10980BAD-E983-4362-9339-79905E2A4896}" name="Eriedain48" dataDxfId="518" dataCellStyle="Excel Built-in Normal"/>
    <tableColumn id="67" xr3:uid="{DCCEE5C7-5395-4DA5-AB86-965E9A3827D2}" name="Eriedain49" dataDxfId="517" dataCellStyle="Excel Built-in Normal"/>
    <tableColumn id="68" xr3:uid="{317717C5-CB74-4407-97A0-0C1E1FE68F0A}" name="Haradrim, N" dataDxfId="516" dataCellStyle="Excel Built-in Normal"/>
    <tableColumn id="69" xr3:uid="{E1F199F1-C67B-4213-9669-E78F2E641377}" name="Haradrim, S" dataDxfId="515" dataCellStyle="Excel Built-in Normal"/>
    <tableColumn id="70" xr3:uid="{A625A850-E927-4FD5-8DEA-78F8A5F1CBDA}" name="Hobbit" dataDxfId="514" dataCellStyle="Excel Built-in Normal"/>
    <tableColumn id="71" xr3:uid="{69F5EC44-5553-428D-A53F-3976AB4D129F}" name="Hobbit50" dataDxfId="513" dataCellStyle="Excel Built-in Normal"/>
    <tableColumn id="72" xr3:uid="{1714A08A-5739-4128-BA7C-B1BCDDE24581}" name="Hobbit51" dataDxfId="512" dataCellStyle="Excel Built-in Normal"/>
    <tableColumn id="73" xr3:uid="{1319E12F-757C-446D-A338-E3355C3CCAD5}" name="Lossoth" dataDxfId="511" dataCellStyle="Excel Built-in Normal"/>
    <tableColumn id="74" xr3:uid="{974D83FD-35DC-4E81-8AD2-874988B0E6DE}" name="Lossoth52" dataDxfId="510" dataCellStyle="Excel Built-in Normal"/>
    <tableColumn id="75" xr3:uid="{0A65AE3B-1AB8-419F-B9DD-9EB823E78C6D}" name="Lossoth53" dataDxfId="509" dataCellStyle="Excel Built-in Normal"/>
    <tableColumn id="76" xr3:uid="{31398A3F-9206-48FA-A896-9ECD11A1BDF6}" name="Lossoth54" dataDxfId="508" dataCellStyle="Excel Built-in Normal"/>
    <tableColumn id="77" xr3:uid="{2CECB048-E5AC-4961-B777-425B3AF0FDEB}" name="Talatherim" dataDxfId="507" dataCellStyle="Excel Built-in Normal"/>
    <tableColumn id="78" xr3:uid="{98039AE0-85B6-4215-AFE0-D3B44C589759}" name="Talatherim55" dataDxfId="506" dataCellStyle="Excel Built-in Normal"/>
    <tableColumn id="79" xr3:uid="{F61397F9-45EE-47BA-88B2-671C907EE489}" name="Talatherim56" dataDxfId="505" dataCellStyle="Excel Built-in Normal"/>
    <tableColumn id="80" xr3:uid="{FED698F1-58DF-466D-A64D-312AD58989A3}" name="Talatherim57" dataDxfId="504" dataCellStyle="Excel Built-in Normal"/>
    <tableColumn id="81" xr3:uid="{B14DC63A-9A98-4B42-8C0E-FB1BEC5098A6}" name="Talatherim58" dataDxfId="503" dataCellStyle="Excel Built-in Normal"/>
    <tableColumn id="82" xr3:uid="{32AA2902-ED9F-4443-AA75-53AF943B9A5B}" name="Talatherim59" dataDxfId="502" dataCellStyle="Excel Built-in Normal"/>
    <tableColumn id="83" xr3:uid="{9CB57EEB-7C5A-497E-84F2-FF860FA6154D}" name="Talatherim60" dataDxfId="501" dataCellStyle="Excel Built-in Normal"/>
    <tableColumn id="84" xr3:uid="{84C90F62-DA8F-49B1-AF00-19F02C6D0B7A}" name="Talatherim61" dataDxfId="500" dataCellStyle="Excel Built-in Normal"/>
    <tableColumn id="85" xr3:uid="{A82A65C9-44D0-4672-A2CC-88913D78C946}" name="Talatherim62" dataDxfId="499" dataCellStyle="Excel Built-in Normal"/>
    <tableColumn id="86" xr3:uid="{07E3C550-3661-49AC-94A0-F06F0679D758}" name="Chey" dataDxfId="498" dataCellStyle="Excel Built-in Normal"/>
    <tableColumn id="87" xr3:uid="{4A8F5E0D-338C-430C-A8D8-360306703EF4}" name="Womaw" dataDxfId="497" dataCellStyle="Excel Built-in Normal"/>
    <tableColumn id="88" xr3:uid="{EB399C29-46AA-42C7-9BD1-61D960865196}" name="Urd" dataDxfId="496" dataCellStyle="Excel Built-in Normal"/>
    <tableColumn id="89" xr3:uid="{C425727E-C856-4EB0-879F-3DE3E56826AE}" name="Umli" dataDxfId="495" dataCellStyle="Excel Built-in Normal"/>
    <tableColumn id="90" xr3:uid="{D8031856-D8DA-47F7-B569-61E31E8FCC37}" name="Woses" dataDxfId="494" dataCellStyle="Excel Built-in Normal"/>
    <tableColumn id="91" xr3:uid="{3704BAC1-3F3F-4E3C-89B8-C289FB92E189}" name="Common Orc" dataDxfId="493" dataCellStyle="Excel Built-in Normal"/>
    <tableColumn id="92" xr3:uid="{B1EC6CDE-8DCA-4FCE-BF59-C12C5304A4B1}" name="Uruk-Hai" dataDxfId="492" dataCellStyle="Excel Built-in Normal"/>
    <tableColumn id="93" xr3:uid="{A65EFA56-E883-4D31-8755-73420CEECE2C}" name="Half Orcs" dataDxfId="491" dataCellStyle="Excel Built-in Normal"/>
    <tableColumn id="94" xr3:uid="{2C485263-0AD4-4333-83FF-F3DF364F8C0D}" name="Trolls" dataDxfId="490" dataCellStyle="Excel Built-in Normal"/>
    <tableColumn id="95" xr3:uid="{D258BC4E-2001-4BE1-836F-03B79FC67DA9}" name="Trolls63" dataDxfId="489" dataCellStyle="Excel Built-in Normal"/>
    <tableColumn id="96" xr3:uid="{CEED1A3F-6C63-4C30-84CB-CB5525984FAA}" name="Trolls64" dataDxfId="488" dataCellStyle="Excel Built-in Normal"/>
    <tableColumn id="97" xr3:uid="{3D25738C-796F-4531-8E08-6405A66DC4F8}" name="Trolls65" dataDxfId="487" dataCellStyle="Excel Built-in Normal"/>
    <tableColumn id="98" xr3:uid="{19BBE086-921C-46DE-A2F1-EAAD0B9AC909}" name="Trolls66" dataDxfId="486" dataCellStyle="Excel Built-in Normal"/>
    <tableColumn id="99" xr3:uid="{E6A587E7-0B19-422B-B7D6-4B49C8FEA0E7}" name="Trolls67" dataDxfId="485" dataCellStyle="Excel Built-in Normal"/>
    <tableColumn id="100" xr3:uid="{7D407E6D-147E-4E9A-8792-C5FC23508842}" name="Sarake68" dataDxfId="484" dataCellStyle="Excel Built-in Normal"/>
    <tableColumn id="101" xr3:uid="{CA6C5234-1E44-4C4E-A3B6-E049D2D36819}" name="Sarake69" dataDxfId="483" dataCellStyle="Excel Built-in Normal"/>
    <tableColumn id="102" xr3:uid="{F21E971E-CAB5-4744-A781-ADCD5DB46C46}" name="Hakua varten" dataDxfId="482" dataCellStyle="Excel Built-in Normal"/>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AC4F931D-3BA0-4F5D-9ED3-EDB1BF851489}" name="Taulukko14" displayName="Taulukko14" ref="AJ123:EH133" totalsRowShown="0" headerRowDxfId="481" dataDxfId="480" headerRowCellStyle="Excel Built-in Normal" dataCellStyle="Excel Built-in Normal">
  <autoFilter ref="AJ123:EH133" xr:uid="{DCBA59FF-B9BF-44B0-9C11-B09F354A9A1A}"/>
  <tableColumns count="103">
    <tableColumn id="1" xr3:uid="{0FAEB59A-C88C-4F9D-80C2-5CEBAA613BA4}" name="Languages" dataDxfId="479" dataCellStyle="Excel Built-in Normal 2"/>
    <tableColumn id="2" xr3:uid="{0D5B02E3-0D5A-4F15-85AF-BCAE933CCCE8}" name="Dragonborn" dataDxfId="478" dataCellStyle="Excel Built-in Normal 2"/>
    <tableColumn id="3" xr3:uid="{F1FB8F83-F466-4701-89F4-0F53B2F62F5D}" name="Drow" dataDxfId="477" dataCellStyle="Excel Built-in Normal 2"/>
    <tableColumn id="4" xr3:uid="{F3EBFBD5-22D0-4358-A3CD-10FA5168574C}" name="Drow2" dataDxfId="476" dataCellStyle="Excel Built-in Normal 2"/>
    <tableColumn id="5" xr3:uid="{9829526A-E2E0-48BD-AC18-67B086EF9AC5}" name="Dwarf" dataDxfId="475" dataCellStyle="Excel Built-in Normal 2"/>
    <tableColumn id="6" xr3:uid="{75846DDA-A0C9-47DE-9991-1D92C0DC49C0}" name="Dwarf3" dataDxfId="474" dataCellStyle="Excel Built-in Normal 2"/>
    <tableColumn id="7" xr3:uid="{DBB5F0C9-FC4E-4EC2-904A-4EE8F747E737}" name="Dwarf4" dataDxfId="473" dataCellStyle="Excel Built-in Normal 2"/>
    <tableColumn id="8" xr3:uid="{AA3EDC3C-BBFD-4474-BC6E-C99ED4ECFC52}" name="Elf" dataDxfId="472" dataCellStyle="Excel Built-in Normal 2"/>
    <tableColumn id="9" xr3:uid="{EC265838-4EF8-4DAC-AFC8-06636BAD5AF9}" name="Elf5" dataDxfId="471" dataCellStyle="Excel Built-in Normal 2"/>
    <tableColumn id="10" xr3:uid="{87FE5A82-ADC9-4B86-BFE3-640F534558B5}" name="Elf6" dataDxfId="470" dataCellStyle="Excel Built-in Normal 2"/>
    <tableColumn id="11" xr3:uid="{EDA5EE48-5CE2-4247-ADA8-474A40B56CDF}" name="Elf7" dataDxfId="469" dataCellStyle="Excel Built-in Normal 2"/>
    <tableColumn id="12" xr3:uid="{47E1E0E1-4BFC-47C9-A942-67E1C765646D}" name="Elf8" dataDxfId="468" dataCellStyle="Excel Built-in Normal 2"/>
    <tableColumn id="13" xr3:uid="{0A5F7BA1-2811-4308-9541-6787F5F34BE5}" name="Elf9" dataDxfId="467" dataCellStyle="Excel Built-in Normal 2"/>
    <tableColumn id="14" xr3:uid="{9471E1B6-A17E-4FD8-AD4A-30A9D673CD4A}" name="Gnome" dataDxfId="466" dataCellStyle="Excel Built-in Normal 2"/>
    <tableColumn id="15" xr3:uid="{0948C880-CC1F-4CAC-A20B-99E34696E40E}" name="Gnome10" dataDxfId="465" dataCellStyle="Excel Built-in Normal 2"/>
    <tableColumn id="16" xr3:uid="{D1AE53F3-7DF3-43C4-9F24-8ADD4F6DF184}" name="Gnome11" dataDxfId="464" dataCellStyle="Excel Built-in Normal 2"/>
    <tableColumn id="17" xr3:uid="{70A249D4-C777-4D16-9242-FF7CD2A83986}" name="Halfling" dataDxfId="463" dataCellStyle="Excel Built-in Normal 2"/>
    <tableColumn id="18" xr3:uid="{8875283F-8004-4C5E-B780-B46C1E9B7B74}" name="Halfling12" dataDxfId="462" dataCellStyle="Excel Built-in Normal 2"/>
    <tableColumn id="19" xr3:uid="{BCD4D218-B066-4B05-B8BC-01B5858B1A07}" name="Halfling13" dataDxfId="461" dataCellStyle="Excel Built-in Normal 2"/>
    <tableColumn id="20" xr3:uid="{A048D5AE-5F7D-49ED-AA8E-21324333744C}" name="Human" dataDxfId="460" dataCellStyle="Excel Built-in Normal 2"/>
    <tableColumn id="21" xr3:uid="{10BDD255-CE01-4ABA-8A1C-E481C4D6E299}" name="Human14" dataDxfId="459" dataCellStyle="Excel Built-in Normal 2"/>
    <tableColumn id="22" xr3:uid="{BD0F6C43-F416-4136-B16A-B0E4321FD2D7}" name="Human15" dataDxfId="458" dataCellStyle="Excel Built-in Normal 2"/>
    <tableColumn id="23" xr3:uid="{AC64EF56-B9F6-4426-B6B0-5A4C52C95E23}" name="Human16" dataDxfId="457" dataCellStyle="Excel Built-in Normal 2"/>
    <tableColumn id="24" xr3:uid="{61636D75-85AA-437B-8F9E-BA0FCAC8ED56}" name="Human17" dataDxfId="456" dataCellStyle="Excel Built-in Normal 2"/>
    <tableColumn id="25" xr3:uid="{AE77EC5B-0010-41CA-A7C2-B87CF15F993D}" name="Human18" dataDxfId="455" dataCellStyle="Excel Built-in Normal 2"/>
    <tableColumn id="26" xr3:uid="{BFBC6C37-7CB1-4376-9A3B-B6983DD28E66}" name="Human19" dataDxfId="454" dataCellStyle="Excel Built-in Normal 2"/>
    <tableColumn id="27" xr3:uid="{1C600D83-6BB2-4E7A-B42E-4AA665E5A4CA}" name="Human20" dataDxfId="453" dataCellStyle="Excel Built-in Normal 2"/>
    <tableColumn id="28" xr3:uid="{55DAC065-D40E-403F-854D-148632F822AB}" name="Human21" dataDxfId="452" dataCellStyle="Excel Built-in Normal 2"/>
    <tableColumn id="29" xr3:uid="{04F3A9B8-50A8-49BB-911D-BFBE716EB44C}" name="Human22" dataDxfId="451" dataCellStyle="Excel Built-in Normal 2"/>
    <tableColumn id="30" xr3:uid="{E2AFE00B-F4CE-4719-AFD4-8DEC6E12EC46}" name="Human23" dataDxfId="450" dataCellStyle="Excel Built-in Normal 2"/>
    <tableColumn id="31" xr3:uid="{5AAC3E6E-3F6F-479D-9802-6BDB21E769AC}" name="Human24" dataDxfId="449" dataCellStyle="Excel Built-in Normal 2"/>
    <tableColumn id="32" xr3:uid="{0362C542-562D-4961-B96E-F1F311B64D3A}" name="Human25" dataDxfId="448" dataCellStyle="Excel Built-in Normal 2"/>
    <tableColumn id="33" xr3:uid="{3610CBF9-2F4D-425A-AACE-D35F4A181358}" name="Human26" dataDxfId="447" dataCellStyle="Excel Built-in Normal 2"/>
    <tableColumn id="34" xr3:uid="{6FCC3813-482A-40C1-BB53-FB7245689923}" name="Human27" dataDxfId="446" dataCellStyle="Excel Built-in Normal 2"/>
    <tableColumn id="35" xr3:uid="{16C6085C-E021-4D43-96FA-775C8C0000F5}" name="Human28" dataDxfId="445" dataCellStyle="Excel Built-in Normal 2"/>
    <tableColumn id="36" xr3:uid="{BE5F8475-89ED-439B-B09D-7C88D4C1E3D6}" name="Human29" dataDxfId="444" dataCellStyle="Excel Built-in Normal 2"/>
    <tableColumn id="37" xr3:uid="{EA1A4F2E-C117-4ECB-AD2E-2C9044D88C99}" name="Human30" dataDxfId="443" dataCellStyle="Excel Built-in Normal 2"/>
    <tableColumn id="38" xr3:uid="{07EA5006-A7AF-4977-ABB2-1E9FADE6247C}" name="Orc" dataDxfId="442" dataCellStyle="Excel Built-in Normal 2"/>
    <tableColumn id="39" xr3:uid="{CB9228CF-F8FD-44EE-85DE-72B609720C86}" name="Orc31" dataDxfId="441" dataCellStyle="Excel Built-in Normal 2"/>
    <tableColumn id="40" xr3:uid="{4E2C1D00-659A-432A-92E8-DDF7F61BF53B}" name="Arhunerim" dataDxfId="440" dataCellStyle="Excel Built-in Normal"/>
    <tableColumn id="41" xr3:uid="{77F4D79C-A4C4-4AB6-874D-B0DAF7700C9E}" name="Arhunerim32" dataDxfId="439" dataCellStyle="Excel Built-in Normal"/>
    <tableColumn id="42" xr3:uid="{76D51D5F-07BC-44C6-A08B-55D0FE289BC8}" name="Common man" dataDxfId="438" dataCellStyle="Excel Built-in Normal"/>
    <tableColumn id="43" xr3:uid="{2E614700-A8B5-453E-8FA3-7423F6EE8EF4}" name="Common man33" dataDxfId="437" dataCellStyle="Excel Built-in Normal"/>
    <tableColumn id="44" xr3:uid="{8AE8CAB6-E89E-4DCA-9686-A2C65113411D}" name="High Men" dataDxfId="436" dataCellStyle="Excel Built-in Normal"/>
    <tableColumn id="45" xr3:uid="{992A4F6D-E803-4243-A443-23B4E98DFECB}" name="High Men34" dataDxfId="435" dataCellStyle="Excel Built-in Normal"/>
    <tableColumn id="46" xr3:uid="{631BF557-253C-4233-985F-A591CAF88654}" name="High Men35" dataDxfId="434" dataCellStyle="Excel Built-in Normal"/>
    <tableColumn id="47" xr3:uid="{7544DA3B-F854-4BAB-8EF9-A57E88DA9BC3}" name="High Men36" dataDxfId="433" dataCellStyle="Excel Built-in Normal"/>
    <tableColumn id="48" xr3:uid="{BB25FBA6-4C00-41F1-9E94-30FD2F9569B8}" name="High Men37" dataDxfId="432" dataCellStyle="Excel Built-in Normal"/>
    <tableColumn id="49" xr3:uid="{785A7B81-7DD7-4D0D-A158-7F22CF2285F6}" name="Corsair" dataDxfId="431" dataCellStyle="Excel Built-in Normal"/>
    <tableColumn id="50" xr3:uid="{708CDCDE-6BE0-46D0-8D19-C120595D5A9F}" name="High Men38" dataDxfId="430" dataCellStyle="Excel Built-in Normal"/>
    <tableColumn id="51" xr3:uid="{246A99E0-2768-4F9B-BB1C-BA01A2DE212E}" name="High Men39" dataDxfId="429" dataCellStyle="Excel Built-in Normal"/>
    <tableColumn id="52" xr3:uid="{2897DEC9-A299-4702-9B83-130E28AEF6E4}" name="High Men40" dataDxfId="428" dataCellStyle="Excel Built-in Normal"/>
    <tableColumn id="53" xr3:uid="{F8512AE7-63A0-4AB2-9F98-2842B2DB922D}" name="Dwarf41" dataDxfId="427" dataCellStyle="Excel Built-in Normal"/>
    <tableColumn id="103" xr3:uid="{F94F645D-91D0-4D04-8024-9027205B17E7}" name="Lossedel" dataDxfId="426" dataCellStyle="Excel Built-in Normal"/>
    <tableColumn id="54" xr3:uid="{784C6338-002A-462A-8B5C-9E59349AB304}" name="Noldo" dataDxfId="425" dataCellStyle="Excel Built-in Normal"/>
    <tableColumn id="55" xr3:uid="{B7516513-ED2C-48A0-9C8B-9F695FACAAA9}" name="Silvan" dataDxfId="424" dataCellStyle="Excel Built-in Normal"/>
    <tableColumn id="56" xr3:uid="{7D8AC2BE-90CA-460B-9098-D8817A6EA050}" name="Sinda" dataDxfId="423" dataCellStyle="Excel Built-in Normal"/>
    <tableColumn id="57" xr3:uid="{82718275-410B-4CDD-8ADC-3D8F198C7C6D}" name="Half Elf" dataDxfId="422" dataCellStyle="Excel Built-in Normal"/>
    <tableColumn id="58" xr3:uid="{2C1D3CD4-8776-4ECB-B186-1AE237231676}" name="Eriedain" dataDxfId="421" dataCellStyle="Excel Built-in Normal"/>
    <tableColumn id="59" xr3:uid="{344EB86C-A3EE-4258-AB36-378870A0D063}" name="Bear tribes" dataDxfId="420" dataCellStyle="Excel Built-in Normal"/>
    <tableColumn id="60" xr3:uid="{D8A0DB5E-E16D-4A98-BB73-E3FC295285FD}" name="Eriedain42" dataDxfId="419" dataCellStyle="Excel Built-in Normal"/>
    <tableColumn id="61" xr3:uid="{E4008B0A-68DB-4D08-A154-E64CC00668E8}" name="Eriedain43" dataDxfId="418" dataCellStyle="Excel Built-in Normal"/>
    <tableColumn id="62" xr3:uid="{D8DAC9B4-A678-4B14-B5E6-4B8E42B7196B}" name="Eriedain44" dataDxfId="417" dataCellStyle="Excel Built-in Normal"/>
    <tableColumn id="63" xr3:uid="{4865B95B-AACC-4F0B-8358-615E15D43C9D}" name="Eriedain45" dataDxfId="416" dataCellStyle="Excel Built-in Normal"/>
    <tableColumn id="64" xr3:uid="{73CFF7C1-2545-404A-9E68-AB00973B0248}" name="Eriedain46" dataDxfId="415" dataCellStyle="Excel Built-in Normal"/>
    <tableColumn id="65" xr3:uid="{3BC9340B-7076-4E41-848B-3E71EEDCDD95}" name="Eriedain47" dataDxfId="414" dataCellStyle="Excel Built-in Normal"/>
    <tableColumn id="66" xr3:uid="{A97C3D25-E3D6-48BB-9C20-72D34C9A7FF7}" name="Eriedain48" dataDxfId="413" dataCellStyle="Excel Built-in Normal"/>
    <tableColumn id="67" xr3:uid="{873496C7-3F22-4FF1-9818-37BFCC7DD1A9}" name="Eriedain49" dataDxfId="412" dataCellStyle="Excel Built-in Normal"/>
    <tableColumn id="68" xr3:uid="{083DC559-0189-46B1-94F8-A6AE7491F6CB}" name="Haradrim, N" dataDxfId="411" dataCellStyle="Excel Built-in Normal"/>
    <tableColumn id="69" xr3:uid="{127476F1-7487-48F7-8A96-17767866D3D7}" name="Haradrim, S" dataDxfId="410" dataCellStyle="Excel Built-in Normal"/>
    <tableColumn id="70" xr3:uid="{7F230BDF-96CA-45E4-B197-47F3D52A9371}" name="Hobbit" dataDxfId="409" dataCellStyle="Excel Built-in Normal"/>
    <tableColumn id="71" xr3:uid="{BE154F4E-5525-4763-9877-5E7923D306DC}" name="Hobbit50" dataDxfId="408" dataCellStyle="Excel Built-in Normal"/>
    <tableColumn id="72" xr3:uid="{60F676EE-48F1-4938-8833-2756DF3B3FFE}" name="Hobbit51" dataDxfId="407" dataCellStyle="Excel Built-in Normal"/>
    <tableColumn id="73" xr3:uid="{C433F503-4B4A-44BD-A070-2350094779F8}" name="Lossoth" dataDxfId="406" dataCellStyle="Excel Built-in Normal"/>
    <tableColumn id="74" xr3:uid="{C3B48155-9845-4D64-806F-90457B800BFC}" name="Lossoth52" dataDxfId="405" dataCellStyle="Excel Built-in Normal"/>
    <tableColumn id="75" xr3:uid="{BCD29021-F95D-435D-9DE6-E6A12F10146D}" name="Lossoth53" dataDxfId="404" dataCellStyle="Excel Built-in Normal"/>
    <tableColumn id="76" xr3:uid="{8A5345DB-BEE1-4658-8EBC-E5BF54B9C980}" name="Lossoth54" dataDxfId="403" dataCellStyle="Excel Built-in Normal"/>
    <tableColumn id="77" xr3:uid="{44F65BA9-8D9C-4B61-A41B-33E0C549971E}" name="Talatherim" dataDxfId="402" dataCellStyle="Excel Built-in Normal"/>
    <tableColumn id="78" xr3:uid="{B3F2F518-15E7-42C8-9C3A-C627F84DA0F2}" name="Talatherim55" dataDxfId="401" dataCellStyle="Excel Built-in Normal"/>
    <tableColumn id="79" xr3:uid="{25EDE37E-0D98-447B-A49C-3E2FB72B0058}" name="Talatherim56" dataDxfId="400" dataCellStyle="Excel Built-in Normal"/>
    <tableColumn id="80" xr3:uid="{3808EF7F-8514-4791-AED3-ED5803D1DC2F}" name="Talatherim57" dataDxfId="399" dataCellStyle="Excel Built-in Normal"/>
    <tableColumn id="81" xr3:uid="{CF77312F-2D5A-4A23-8C29-7D50EFB52A00}" name="Talatherim58" dataDxfId="398" dataCellStyle="Excel Built-in Normal"/>
    <tableColumn id="82" xr3:uid="{2756F608-0EB6-4759-A7D3-15EC729A711C}" name="Talatherim59" dataDxfId="397" dataCellStyle="Excel Built-in Normal"/>
    <tableColumn id="83" xr3:uid="{1373682D-2A49-41CB-8BB8-8A8D9FFA5D47}" name="Talatherim60" dataDxfId="396" dataCellStyle="Excel Built-in Normal"/>
    <tableColumn id="84" xr3:uid="{431A43FB-0990-48CC-95B1-5522FE2FCB3C}" name="Talatherim61" dataDxfId="395" dataCellStyle="Excel Built-in Normal"/>
    <tableColumn id="85" xr3:uid="{C88EC969-852A-47E9-9AF4-A39271968C90}" name="Talatherim62" dataDxfId="394" dataCellStyle="Excel Built-in Normal"/>
    <tableColumn id="86" xr3:uid="{610B2084-46B7-48B8-A87A-C18B92813E8A}" name="Chey" dataDxfId="393" dataCellStyle="Excel Built-in Normal"/>
    <tableColumn id="87" xr3:uid="{7843B5C5-5633-4159-BA07-1BCFF2095D8C}" name="Womaw" dataDxfId="392" dataCellStyle="Excel Built-in Normal"/>
    <tableColumn id="88" xr3:uid="{0FD291F9-5A30-4F25-BA0E-F7409FFB06BF}" name="Urd" dataDxfId="391" dataCellStyle="Excel Built-in Normal"/>
    <tableColumn id="89" xr3:uid="{786DB927-B7B7-41CC-B487-909BC0D39975}" name="Umli" dataDxfId="390" dataCellStyle="Excel Built-in Normal"/>
    <tableColumn id="90" xr3:uid="{4CF3A03C-D151-424E-BE05-755E15FF933E}" name="Woses" dataDxfId="389" dataCellStyle="Excel Built-in Normal"/>
    <tableColumn id="91" xr3:uid="{49650B75-6F7D-4802-BFFC-45D6433E8254}" name="Common Orc" dataDxfId="388" dataCellStyle="Excel Built-in Normal"/>
    <tableColumn id="92" xr3:uid="{E023FB1D-F339-4EED-B56F-CFB7574E0F82}" name="Uruk-Hai" dataDxfId="387" dataCellStyle="Excel Built-in Normal"/>
    <tableColumn id="93" xr3:uid="{B368CA70-B9EB-4362-ADB5-B8D3986C3948}" name="Half Orcs" dataDxfId="386" dataCellStyle="Excel Built-in Normal"/>
    <tableColumn id="94" xr3:uid="{DAC2D102-96ED-414D-B9C7-7FE6038AC8C2}" name="Trolls" dataDxfId="385" dataCellStyle="Excel Built-in Normal"/>
    <tableColumn id="95" xr3:uid="{7A3CE8CF-9E24-4A79-BFB8-DBF36CD444B8}" name="Trolls63" dataDxfId="384" dataCellStyle="Excel Built-in Normal"/>
    <tableColumn id="96" xr3:uid="{2D915E12-525F-4F45-BEB7-D83E9CCCF4D4}" name="Trolls64" dataDxfId="383" dataCellStyle="Excel Built-in Normal"/>
    <tableColumn id="97" xr3:uid="{FE84EB79-60CE-470A-AAEA-B792ACE9C3E7}" name="Trolls65" dataDxfId="382" dataCellStyle="Excel Built-in Normal"/>
    <tableColumn id="98" xr3:uid="{C6BDA7E7-AF61-4FA0-A519-1B3D8039FE04}" name="Trolls66" dataDxfId="381" dataCellStyle="Excel Built-in Normal"/>
    <tableColumn id="99" xr3:uid="{6C664CF9-3DFB-47BB-BFEA-442E219BA251}" name="Trolls67" dataDxfId="380" dataCellStyle="Excel Built-in Normal"/>
    <tableColumn id="100" xr3:uid="{4B4ED891-4A04-46BB-A25A-F9021FDF1E34}" name="Sarake68" dataDxfId="379" dataCellStyle="Excel Built-in Normal"/>
    <tableColumn id="101" xr3:uid="{54AE2610-AAC2-46A1-88AE-98EEE4305D7A}" name="Sarake69" dataDxfId="378" dataCellStyle="Excel Built-in Normal"/>
    <tableColumn id="102" xr3:uid="{DF495E12-747C-4A59-813C-423F554A5500}" name="Hakua varten" dataDxfId="377" dataCellStyle="Excel Built-in Normal"/>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221C9B5-3A20-4ECD-8DC1-BF40259C58FF}" name="Taulukko15" displayName="Taulukko15" ref="AJ135:EH147" totalsRowShown="0" headerRowDxfId="376" dataDxfId="375" headerRowCellStyle="Excel Built-in Normal" dataCellStyle="Excel Built-in Normal">
  <autoFilter ref="AJ135:EH147" xr:uid="{DDDCB14D-4F16-4B23-9551-A7E921E2945C}"/>
  <tableColumns count="103">
    <tableColumn id="1" xr3:uid="{5796C466-1314-4536-87AD-3B35E4805730}" name="Language Ranks" dataDxfId="374" dataCellStyle="Excel Built-in Normal 2"/>
    <tableColumn id="2" xr3:uid="{8480F649-D285-4F1B-BA3F-84F3874A16E5}" name="8" dataDxfId="373" dataCellStyle="Excel Built-in Normal 2"/>
    <tableColumn id="3" xr3:uid="{60E0381F-6798-4771-939D-7BBFDEE08815}" name="82" dataDxfId="372" dataCellStyle="Excel Built-in Normal 2"/>
    <tableColumn id="4" xr3:uid="{AAFB2623-A64E-4810-A6DF-D9910B6C5F57}" name="83" dataDxfId="371" dataCellStyle="Excel Built-in Normal 2"/>
    <tableColumn id="5" xr3:uid="{C3509628-4E9B-48AD-9594-97240E462357}" name="84" dataDxfId="370" dataCellStyle="Excel Built-in Normal 2"/>
    <tableColumn id="6" xr3:uid="{2E2E652C-8753-41F2-A54C-C1A0DB35F987}" name="85" dataDxfId="369" dataCellStyle="Excel Built-in Normal 2"/>
    <tableColumn id="7" xr3:uid="{000B52FD-922F-4662-8393-12716842AD14}" name="86" dataDxfId="368" dataCellStyle="Excel Built-in Normal 2"/>
    <tableColumn id="8" xr3:uid="{C80F1076-AA41-47ED-8C01-838B3E3D713E}" name="87" dataDxfId="367" dataCellStyle="Excel Built-in Normal 2"/>
    <tableColumn id="9" xr3:uid="{48782B86-6491-425A-B728-753171E8AF56}" name="88" dataDxfId="366" dataCellStyle="Excel Built-in Normal 2"/>
    <tableColumn id="10" xr3:uid="{67582BB9-C09D-431A-A756-8820C95CB633}" name="89" dataDxfId="365" dataCellStyle="Excel Built-in Normal 2"/>
    <tableColumn id="11" xr3:uid="{229443F5-6300-43E8-8090-8DFF5D0F68D5}" name="810" dataDxfId="364" dataCellStyle="Excel Built-in Normal 2"/>
    <tableColumn id="12" xr3:uid="{8A358349-F49C-4041-A0E9-B47E943E5278}" name="811" dataDxfId="363" dataCellStyle="Excel Built-in Normal 2"/>
    <tableColumn id="13" xr3:uid="{E679CEC8-58BF-43F3-9927-1C76B4E54E73}" name="812" dataDxfId="362" dataCellStyle="Excel Built-in Normal 2"/>
    <tableColumn id="14" xr3:uid="{BE83905A-29C2-40E9-A855-A6321849D4C3}" name="813" dataDxfId="361" dataCellStyle="Excel Built-in Normal 2"/>
    <tableColumn id="15" xr3:uid="{C1660FC2-263D-4262-95F6-98547C7A4ABB}" name="814" dataDxfId="360" dataCellStyle="Excel Built-in Normal 2"/>
    <tableColumn id="16" xr3:uid="{49812F36-81FD-4A19-825C-1701E4A05B72}" name="815" dataDxfId="359" dataCellStyle="Excel Built-in Normal 2"/>
    <tableColumn id="17" xr3:uid="{DC2D48E4-262B-4830-8C9C-A6DECF2D98E2}" name="816" dataDxfId="358" dataCellStyle="Excel Built-in Normal 2"/>
    <tableColumn id="18" xr3:uid="{4F9A04BA-C84F-4CC0-B61E-2A0A19880A20}" name="817" dataDxfId="357" dataCellStyle="Excel Built-in Normal 2"/>
    <tableColumn id="19" xr3:uid="{BDBFBE74-E41E-42DA-8455-7FE94F3C7C86}" name="818" dataDxfId="356" dataCellStyle="Excel Built-in Normal 2"/>
    <tableColumn id="20" xr3:uid="{78F26F39-ECBF-4761-BCCC-363E1A5BDA8F}" name="7" dataDxfId="355" dataCellStyle="Excel Built-in Normal 2"/>
    <tableColumn id="21" xr3:uid="{F311F06C-24CF-47D7-9C7A-59ED0A4024DA}" name="719" dataDxfId="354" dataCellStyle="Excel Built-in Normal 2"/>
    <tableColumn id="22" xr3:uid="{B0E1C0D7-AE7E-4740-AD62-DE5DBF6880F4}" name="720" dataDxfId="353" dataCellStyle="Excel Built-in Normal 2"/>
    <tableColumn id="23" xr3:uid="{9883CD76-0829-404D-B408-ABCC1BA65C99}" name="721" dataDxfId="352" dataCellStyle="Excel Built-in Normal 2"/>
    <tableColumn id="24" xr3:uid="{B37D8205-3B42-4265-9EC7-2014DCDE405F}" name="722" dataDxfId="351" dataCellStyle="Excel Built-in Normal 2"/>
    <tableColumn id="25" xr3:uid="{5F1CD7F1-0E4C-4785-A265-5E16BA767594}" name="723" dataDxfId="350" dataCellStyle="Excel Built-in Normal 2"/>
    <tableColumn id="26" xr3:uid="{95A46F17-9DBB-40A2-9DB7-7E1D77CB89F9}" name="724" dataDxfId="349" dataCellStyle="Excel Built-in Normal 2"/>
    <tableColumn id="27" xr3:uid="{FC014EB8-C79B-41F1-8381-BB6368E02868}" name="725" dataDxfId="348" dataCellStyle="Excel Built-in Normal 2"/>
    <tableColumn id="28" xr3:uid="{5491CEE5-BE14-482D-876F-4908958D45CD}" name="726" dataDxfId="347" dataCellStyle="Excel Built-in Normal 2"/>
    <tableColumn id="29" xr3:uid="{414EEC3C-7B79-4CFD-8A98-6DD875DDADB5}" name="727" dataDxfId="346" dataCellStyle="Excel Built-in Normal 2"/>
    <tableColumn id="30" xr3:uid="{7F835488-9875-438C-B781-8FD756A90FE3}" name="728" dataDxfId="345" dataCellStyle="Excel Built-in Normal 2"/>
    <tableColumn id="31" xr3:uid="{015B3BB3-457A-485B-BF79-5ED5AEF35590}" name="729" dataDxfId="344" dataCellStyle="Excel Built-in Normal 2"/>
    <tableColumn id="32" xr3:uid="{BAE0F0C5-23B5-4A51-B1E1-561F8A7F0066}" name="730" dataDxfId="343" dataCellStyle="Excel Built-in Normal 2"/>
    <tableColumn id="33" xr3:uid="{14CBE106-0BEB-454F-953C-180454F379AC}" name="731" dataDxfId="342" dataCellStyle="Excel Built-in Normal 2"/>
    <tableColumn id="34" xr3:uid="{57AA35E6-17FB-46C6-9D8E-D86513229EDF}" name="732" dataDxfId="341" dataCellStyle="Excel Built-in Normal 2"/>
    <tableColumn id="35" xr3:uid="{61E024A4-916A-4E19-9EE0-E8E99810C306}" name="733" dataDxfId="340" dataCellStyle="Excel Built-in Normal 2"/>
    <tableColumn id="36" xr3:uid="{B52D68EC-A2C3-4C2B-A61E-4F263A3CDA98}" name="734" dataDxfId="339" dataCellStyle="Excel Built-in Normal 2"/>
    <tableColumn id="37" xr3:uid="{85F03B75-4E6C-4489-8491-304CD644D4F3}" name="735" dataDxfId="338" dataCellStyle="Excel Built-in Normal 2"/>
    <tableColumn id="38" xr3:uid="{EDDDCDAD-0E38-4BB0-9B22-3BD9DA17C5B4}" name="736" dataDxfId="337" dataCellStyle="Excel Built-in Normal 2"/>
    <tableColumn id="39" xr3:uid="{F7BEE7BC-9DBB-42BE-B74F-6C33B8A1E244}" name="737" dataDxfId="336" dataCellStyle="Excel Built-in Normal 2"/>
    <tableColumn id="40" xr3:uid="{FD381F4E-7A17-4054-AD6A-8B8E7B0BEBE6}" name="838" dataDxfId="335" dataCellStyle="Excel Built-in Normal"/>
    <tableColumn id="41" xr3:uid="{D9B0740E-16D2-4D4E-B05C-91B9A2783A3E}" name="839" dataDxfId="334" dataCellStyle="Excel Built-in Normal"/>
    <tableColumn id="42" xr3:uid="{2359234A-97A2-410F-877A-A3B7C39F273D}" name="840" dataDxfId="333" dataCellStyle="Excel Built-in Normal"/>
    <tableColumn id="43" xr3:uid="{787A6BBD-59D3-4B4B-BE1F-AF8894FD2D35}" name="841" dataDxfId="332" dataCellStyle="Excel Built-in Normal"/>
    <tableColumn id="44" xr3:uid="{E148ED71-821B-42A2-9624-5EDBCD285DC8}" name="842" dataDxfId="331" dataCellStyle="Excel Built-in Normal"/>
    <tableColumn id="45" xr3:uid="{2115F0F2-958A-4DE0-9D77-59C2ED8513FC}" name="743" dataDxfId="330" dataCellStyle="Excel Built-in Normal"/>
    <tableColumn id="46" xr3:uid="{E38F4479-E225-4671-93C9-ED27324EDF4D}" name="844" dataDxfId="329" dataCellStyle="Excel Built-in Normal"/>
    <tableColumn id="47" xr3:uid="{244FFF3F-FF9F-4B65-A6C6-F1813BFEA046}" name="845" dataDxfId="328" dataCellStyle="Excel Built-in Normal"/>
    <tableColumn id="48" xr3:uid="{5BC6B406-7867-493A-8B20-22B1C1F7A72C}" name="846" dataDxfId="327" dataCellStyle="Excel Built-in Normal"/>
    <tableColumn id="49" xr3:uid="{C060AF5D-DB2A-401C-A8AB-E8C4FCE7E076}" name="847" dataDxfId="326" dataCellStyle="Excel Built-in Normal"/>
    <tableColumn id="50" xr3:uid="{5037E514-F77E-4310-8031-ABE3872CEF0B}" name="848" dataDxfId="325" dataCellStyle="Excel Built-in Normal"/>
    <tableColumn id="51" xr3:uid="{D7D1FF62-99AE-4532-BF3F-A54CABA18681}" name="849" dataDxfId="324" dataCellStyle="Excel Built-in Normal"/>
    <tableColumn id="52" xr3:uid="{75BC2A2F-140A-4679-A4A9-A756E49603A0}" name="850" dataDxfId="323" dataCellStyle="Excel Built-in Normal"/>
    <tableColumn id="53" xr3:uid="{44B08238-E3C0-4D20-B1DF-C575650A2179}" name="851" dataDxfId="322" dataCellStyle="Excel Built-in Normal"/>
    <tableColumn id="103" xr3:uid="{5F6DBA53-0F35-48C5-9251-7E6A87D06789}" name="8512" dataDxfId="321" dataCellStyle="Excel Built-in Normal"/>
    <tableColumn id="54" xr3:uid="{625D586C-E3DF-4BB8-9B8F-9C63274E8526}" name="852" dataDxfId="320" dataCellStyle="Excel Built-in Normal"/>
    <tableColumn id="55" xr3:uid="{424687EE-C1FC-425C-90C3-48F1A5DA379C}" name="853" dataDxfId="319" dataCellStyle="Excel Built-in Normal"/>
    <tableColumn id="56" xr3:uid="{00603FD7-DE85-4E0B-9DEE-AC6042EA364F}" name="854" dataDxfId="318" dataCellStyle="Excel Built-in Normal"/>
    <tableColumn id="57" xr3:uid="{A9BD7CF4-6923-44FA-8709-2334E4F81B53}" name="855" dataDxfId="317" dataCellStyle="Excel Built-in Normal"/>
    <tableColumn id="58" xr3:uid="{537DDABC-74D4-4BBD-85DA-8335B10FDB85}" name="856" dataDxfId="316" dataCellStyle="Excel Built-in Normal"/>
    <tableColumn id="59" xr3:uid="{19C884E0-3AAB-410D-A140-8E042440F8E8}" name="857" dataDxfId="315" dataCellStyle="Excel Built-in Normal"/>
    <tableColumn id="60" xr3:uid="{7EC01E8C-EB3B-4799-B765-CAF6F146C6AD}" name="858" dataDxfId="314" dataCellStyle="Excel Built-in Normal"/>
    <tableColumn id="61" xr3:uid="{98C26629-552A-44E8-B355-129FBAB9A927}" name="859" dataDxfId="313" dataCellStyle="Excel Built-in Normal"/>
    <tableColumn id="62" xr3:uid="{374718C9-A3BE-4E2D-94DE-1C9B10AECDD6}" name="860" dataDxfId="312" dataCellStyle="Excel Built-in Normal"/>
    <tableColumn id="63" xr3:uid="{F20C30D3-C79F-4BF9-95F4-513E77BB7A03}" name="861" dataDxfId="311" dataCellStyle="Excel Built-in Normal"/>
    <tableColumn id="64" xr3:uid="{FB75C226-5697-4ECC-8A30-399D3E91BE66}" name="862" dataDxfId="310" dataCellStyle="Excel Built-in Normal"/>
    <tableColumn id="65" xr3:uid="{39CE60B3-4862-43F9-94E4-CD58953843AB}" name="863" dataDxfId="309" dataCellStyle="Excel Built-in Normal"/>
    <tableColumn id="66" xr3:uid="{C736EB1A-EA36-4128-B866-7EBA0BAA87BF}" name="864" dataDxfId="308" dataCellStyle="Excel Built-in Normal"/>
    <tableColumn id="67" xr3:uid="{2814FCFD-694D-447F-8D48-3ABE8F0BD7A6}" name="865" dataDxfId="307" dataCellStyle="Excel Built-in Normal"/>
    <tableColumn id="68" xr3:uid="{F84CA6A8-F153-4239-B615-CD2EDE1AD14E}" name="866" dataDxfId="306" dataCellStyle="Excel Built-in Normal"/>
    <tableColumn id="69" xr3:uid="{7FCA207B-1EA3-4C25-94B1-45D2FAA21501}" name="867" dataDxfId="305" dataCellStyle="Excel Built-in Normal"/>
    <tableColumn id="70" xr3:uid="{59EF9B24-7245-4E5C-AF15-8DCA4B9EAED5}" name="868" dataDxfId="304" dataCellStyle="Excel Built-in Normal"/>
    <tableColumn id="71" xr3:uid="{70CDE24C-56A0-48A4-B99E-C5F2DFE521F3}" name="869" dataDxfId="303" dataCellStyle="Excel Built-in Normal"/>
    <tableColumn id="72" xr3:uid="{5996D98F-3973-4E01-B73E-5EE232021274}" name="870" dataDxfId="302" dataCellStyle="Excel Built-in Normal"/>
    <tableColumn id="73" xr3:uid="{5A284943-8BC4-422A-BBEC-7BDD1B22291B}" name="871" dataDxfId="301" dataCellStyle="Excel Built-in Normal"/>
    <tableColumn id="74" xr3:uid="{3557B641-9E45-4D74-9943-D842BF0D8964}" name="872" dataDxfId="300" dataCellStyle="Excel Built-in Normal"/>
    <tableColumn id="75" xr3:uid="{3C1E82F2-97C1-4FCC-9645-51B1DA2C1F43}" name="873" dataDxfId="299" dataCellStyle="Excel Built-in Normal"/>
    <tableColumn id="76" xr3:uid="{1474A500-708A-4551-971B-88E708D88F4D}" name="874" dataDxfId="298" dataCellStyle="Excel Built-in Normal"/>
    <tableColumn id="77" xr3:uid="{2DDC45AB-4E0A-4165-A5C3-8BEBAA6D03D1}" name="875" dataDxfId="297" dataCellStyle="Excel Built-in Normal"/>
    <tableColumn id="78" xr3:uid="{BD46AD2B-42A3-45A7-AE25-8CA471C3E28A}" name="876" dataDxfId="296" dataCellStyle="Excel Built-in Normal"/>
    <tableColumn id="79" xr3:uid="{CEC13C6B-4E9C-46A0-8425-8731A3F4C74B}" name="877" dataDxfId="295" dataCellStyle="Excel Built-in Normal"/>
    <tableColumn id="80" xr3:uid="{9E4C6699-8880-4636-93E2-BF06CD05CD24}" name="878" dataDxfId="294" dataCellStyle="Excel Built-in Normal"/>
    <tableColumn id="81" xr3:uid="{AF182FA2-80E9-4CDE-A729-A69FDE69E2E9}" name="879" dataDxfId="293" dataCellStyle="Excel Built-in Normal"/>
    <tableColumn id="82" xr3:uid="{93E450CC-7200-45E1-A9AF-D4027F9E98ED}" name="880" dataDxfId="292" dataCellStyle="Excel Built-in Normal"/>
    <tableColumn id="83" xr3:uid="{DE57B666-8943-499A-955D-C29979043E17}" name="881" dataDxfId="291" dataCellStyle="Excel Built-in Normal"/>
    <tableColumn id="84" xr3:uid="{46AC7B43-6503-4256-A8B5-E4A0BB90F32E}" name="882" dataDxfId="290" dataCellStyle="Excel Built-in Normal"/>
    <tableColumn id="85" xr3:uid="{E66561D7-881B-45C4-B4D5-9178F543EB6F}" name="883" dataDxfId="289" dataCellStyle="Excel Built-in Normal"/>
    <tableColumn id="86" xr3:uid="{41E58E07-88AF-466E-A554-C32D89AAFF5A}" name="884" dataDxfId="288" dataCellStyle="Excel Built-in Normal"/>
    <tableColumn id="87" xr3:uid="{43551ADA-BDDE-41AE-B09A-D23968360F77}" name="885" dataDxfId="287" dataCellStyle="Excel Built-in Normal"/>
    <tableColumn id="88" xr3:uid="{FE136247-AC70-43F9-BEBD-D259F40378DA}" name="886" dataDxfId="286" dataCellStyle="Excel Built-in Normal"/>
    <tableColumn id="89" xr3:uid="{575A2818-3468-4CE2-A869-25CE3D90E981}" name="887" dataDxfId="285" dataCellStyle="Excel Built-in Normal"/>
    <tableColumn id="90" xr3:uid="{F0969C1D-8617-44AE-AC1F-71A8687CCF43}" name="888" dataDxfId="284" dataCellStyle="Excel Built-in Normal"/>
    <tableColumn id="91" xr3:uid="{6241DE9A-72EE-46A7-B540-216FD60AB14F}" name="889" dataDxfId="283" dataCellStyle="Excel Built-in Normal"/>
    <tableColumn id="92" xr3:uid="{56B2D9B5-7552-4C43-B295-46592CE7F94D}" name="890" dataDxfId="282" dataCellStyle="Excel Built-in Normal"/>
    <tableColumn id="93" xr3:uid="{4933AC15-8EBD-421B-ADFA-0C0178B13B37}" name="891" dataDxfId="281" dataCellStyle="Excel Built-in Normal"/>
    <tableColumn id="94" xr3:uid="{649B447F-A9B9-4E21-902C-D307B98CC47F}" name="892" dataDxfId="280" dataCellStyle="Excel Built-in Normal"/>
    <tableColumn id="95" xr3:uid="{0C6025AC-2529-4009-97F5-43A9F4723635}" name="893" dataDxfId="279" dataCellStyle="Excel Built-in Normal"/>
    <tableColumn id="96" xr3:uid="{5A1E5993-304C-4F48-A1A3-D8ABD277A7A4}" name="894" dataDxfId="278" dataCellStyle="Excel Built-in Normal"/>
    <tableColumn id="97" xr3:uid="{B3085AB2-0278-47E9-BC3A-03F4F1950832}" name="895" dataDxfId="277" dataCellStyle="Excel Built-in Normal"/>
    <tableColumn id="98" xr3:uid="{3E5CCE6D-D297-47EE-9B5A-8234D4DAF781}" name="896" dataDxfId="276" dataCellStyle="Excel Built-in Normal"/>
    <tableColumn id="99" xr3:uid="{355A25B4-C060-423C-A548-3326CB4E187C}" name="897" dataDxfId="275" dataCellStyle="Excel Built-in Normal"/>
    <tableColumn id="100" xr3:uid="{196BBE36-EB4A-4209-A168-584D3D151970}" name="898" dataDxfId="274" dataCellStyle="Excel Built-in Normal"/>
    <tableColumn id="101" xr3:uid="{5398EB68-71A2-4981-81B9-1ED7C13D8D75}" name="899" dataDxfId="273" dataCellStyle="Excel Built-in Normal"/>
    <tableColumn id="102" xr3:uid="{17CBF974-3D86-40FE-AAA4-B76B70C3F8F9}" name="Hakua varten" dataDxfId="272" dataCellStyle="Excel Built-in Normal"/>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C0261783-BB72-4667-8A12-D7B4F5B02651}" name="Taulukko16" displayName="Taulukko16" ref="AJ149:EH176" totalsRowShown="0" headerRowDxfId="271" dataDxfId="270" headerRowCellStyle="Excel Built-in Normal" dataCellStyle="Excel Built-in Normal">
  <autoFilter ref="AJ149:EH176" xr:uid="{9F382E8E-4CDD-4C56-BDD8-9F0950D2F71D}"/>
  <tableColumns count="103">
    <tableColumn id="1" xr3:uid="{3B10F26A-59B7-4B11-B346-5824948FD97D}" name="Weapons" dataDxfId="269" dataCellStyle="Excel Built-in Normal 2"/>
    <tableColumn id="2" xr3:uid="{F81EC21E-36C2-4354-BE88-18A9F18F4CD9}" name="Dragonborn" dataDxfId="268" dataCellStyle="Excel Built-in Normal 2"/>
    <tableColumn id="3" xr3:uid="{92076C74-9F88-4182-8F4C-286673A0D2A6}" name="Drow" dataDxfId="267" dataCellStyle="Excel Built-in Normal 2"/>
    <tableColumn id="4" xr3:uid="{D5A9AE4C-848A-492C-810B-89D2D84B28E3}" name="Drow2" dataDxfId="266" dataCellStyle="Excel Built-in Normal 2"/>
    <tableColumn id="5" xr3:uid="{898DCDA8-7BE5-428F-B642-52AA59C77986}" name="Dwarf" dataDxfId="265" dataCellStyle="Excel Built-in Normal 2"/>
    <tableColumn id="6" xr3:uid="{3E3ED31E-14FA-4010-8372-C2F9E5A0C1B7}" name="Dwarf3" dataDxfId="264" dataCellStyle="Excel Built-in Normal 2"/>
    <tableColumn id="7" xr3:uid="{E2FE2266-4201-4030-A9EF-93EA15473EE8}" name="Dwarf4" dataDxfId="263" dataCellStyle="Excel Built-in Normal 2"/>
    <tableColumn id="8" xr3:uid="{D168909F-0998-42C9-BA82-855FF1067CBA}" name="Elf" dataDxfId="262" dataCellStyle="Excel Built-in Normal 2"/>
    <tableColumn id="9" xr3:uid="{D05FB4E6-4969-4DB4-B9A7-2099C543E932}" name="Elf5" dataDxfId="261" dataCellStyle="Excel Built-in Normal 2"/>
    <tableColumn id="10" xr3:uid="{61B86259-F32F-438C-8688-D631F5198553}" name="Elf6" dataDxfId="260" dataCellStyle="Excel Built-in Normal 2"/>
    <tableColumn id="11" xr3:uid="{594B8BCB-AEC8-4EFD-8E69-9DE655025881}" name="Elf7" dataDxfId="259" dataCellStyle="Excel Built-in Normal 2"/>
    <tableColumn id="12" xr3:uid="{52110FC0-EFD2-4E36-92C9-27055DF95B7E}" name="Elf8" dataDxfId="258" dataCellStyle="Excel Built-in Normal 2"/>
    <tableColumn id="13" xr3:uid="{4D4006F1-A148-4536-A11E-39E36D49FCD5}" name="Elf9" dataDxfId="257" dataCellStyle="Excel Built-in Normal 2"/>
    <tableColumn id="14" xr3:uid="{CBFA8913-04DF-4D9E-B4A2-1CE8D31B9107}" name="Gnome" dataDxfId="256" dataCellStyle="Excel Built-in Normal 2"/>
    <tableColumn id="15" xr3:uid="{8B743E6F-F8B1-4CF8-B143-FCBF44DC6823}" name="Gnome10" dataDxfId="255" dataCellStyle="Excel Built-in Normal 2"/>
    <tableColumn id="16" xr3:uid="{9B4583E7-2E3D-4CEF-B150-CDE9AB78A428}" name="Gnome11" dataDxfId="254" dataCellStyle="Excel Built-in Normal 2"/>
    <tableColumn id="17" xr3:uid="{82B48EAA-F8FC-4721-A3F0-BF025AF1AFFC}" name="Halfling" dataDxfId="253" dataCellStyle="Excel Built-in Normal 2"/>
    <tableColumn id="18" xr3:uid="{2DF0A1F6-AC66-42C2-91EA-E1C7884850E4}" name="Halfling12" dataDxfId="252" dataCellStyle="Excel Built-in Normal 2"/>
    <tableColumn id="19" xr3:uid="{622F775D-E870-43B6-8DBA-CC24B5A389F8}" name="Halfling13" dataDxfId="251" dataCellStyle="Excel Built-in Normal 2"/>
    <tableColumn id="20" xr3:uid="{D1677B42-C80A-43CF-8885-E3928B46B8E1}" name="Human" dataDxfId="250" dataCellStyle="Excel Built-in Normal 2"/>
    <tableColumn id="21" xr3:uid="{CC1D4C9F-6F74-431F-8761-13DCB7F6846E}" name="Human14" dataDxfId="249" dataCellStyle="Excel Built-in Normal 2"/>
    <tableColumn id="22" xr3:uid="{4F425DD2-E337-4220-847E-2B2E360D7953}" name="Human15" dataDxfId="248" dataCellStyle="Excel Built-in Normal 2"/>
    <tableColumn id="23" xr3:uid="{62A0D0C2-C6D9-4062-981C-FD9FD8C45118}" name="Human16" dataDxfId="247" dataCellStyle="Excel Built-in Normal 2"/>
    <tableColumn id="24" xr3:uid="{36AAC27B-BBC6-4522-9D99-EA3DEA3B8A83}" name="Human17" dataDxfId="246" dataCellStyle="Excel Built-in Normal 2"/>
    <tableColumn id="25" xr3:uid="{4EF433C6-9286-4AA7-8D21-1CAF7A9787A9}" name="Human18" dataDxfId="245" dataCellStyle="Excel Built-in Normal 2"/>
    <tableColumn id="26" xr3:uid="{64074749-BEBF-4972-A100-5E4D7F2B67B0}" name="Human19" dataDxfId="244" dataCellStyle="Excel Built-in Normal 2"/>
    <tableColumn id="27" xr3:uid="{F0029D8A-8804-4347-8EE7-6B54EB106750}" name="Human20" dataDxfId="243" dataCellStyle="Excel Built-in Normal 2"/>
    <tableColumn id="28" xr3:uid="{1988BF35-39AB-40EE-B55D-DCA8DBF3BB37}" name="Human21" dataDxfId="242" dataCellStyle="Excel Built-in Normal 2"/>
    <tableColumn id="29" xr3:uid="{0C3A7D48-0273-4074-92D3-A1C7167050D7}" name="Human22" dataDxfId="241" dataCellStyle="Excel Built-in Normal 2"/>
    <tableColumn id="30" xr3:uid="{91CC4866-E02B-46B8-BB8D-5CC3716EABE5}" name="Human23" dataDxfId="240" dataCellStyle="Excel Built-in Normal 2"/>
    <tableColumn id="31" xr3:uid="{BD35E007-5CAD-4AA1-A2FF-6055EC04279F}" name="Human24" dataDxfId="239" dataCellStyle="Excel Built-in Normal 2"/>
    <tableColumn id="32" xr3:uid="{987BBDAC-BF46-45AC-AA22-7B653C8CBCE8}" name="Human25" dataDxfId="238" dataCellStyle="Excel Built-in Normal 2"/>
    <tableColumn id="33" xr3:uid="{1ABA3E4F-0C9E-45E6-B415-0B919D979316}" name="Human26" dataDxfId="237" dataCellStyle="Excel Built-in Normal 2"/>
    <tableColumn id="34" xr3:uid="{B207C91B-A847-4499-B74D-262FAC3748BA}" name="Human27" dataDxfId="236" dataCellStyle="Excel Built-in Normal 2"/>
    <tableColumn id="35" xr3:uid="{D9697C1B-AA1A-4E79-9745-D10BAC5CD57A}" name="Human28" dataDxfId="235" dataCellStyle="Excel Built-in Normal 2"/>
    <tableColumn id="36" xr3:uid="{F04416C7-B777-47F8-9D70-5DC853D52C1A}" name="Human29" dataDxfId="234" dataCellStyle="Excel Built-in Normal 2"/>
    <tableColumn id="37" xr3:uid="{CFC17B78-E7E0-47D0-ADF6-86696440A1D7}" name="Human30" dataDxfId="233" dataCellStyle="Excel Built-in Normal 2"/>
    <tableColumn id="38" xr3:uid="{F2D98936-EB1A-4CA2-BB3E-2463BA962A5C}" name="Orc" dataDxfId="232" dataCellStyle="Excel Built-in Normal 2"/>
    <tableColumn id="39" xr3:uid="{84FB5AC9-6632-496D-82D9-35153B2A4694}" name="Orc31" dataDxfId="231" dataCellStyle="Excel Built-in Normal 2"/>
    <tableColumn id="40" xr3:uid="{123D6D5F-27E8-425B-8EC1-01702D0E0169}" name="Arhunerim" dataDxfId="230" dataCellStyle="Excel Built-in Normal"/>
    <tableColumn id="41" xr3:uid="{74B10C35-B025-489B-841C-5F564EE91AF8}" name="Arhunerim32" dataDxfId="229" dataCellStyle="Excel Built-in Normal"/>
    <tableColumn id="42" xr3:uid="{8981F13B-A30A-43EC-B60F-3AF57FD62430}" name="Common man" dataDxfId="228" dataCellStyle="Excel Built-in Normal"/>
    <tableColumn id="43" xr3:uid="{DB807A31-53F9-4359-878E-6106B033D8AB}" name="Common man33" dataDxfId="227" dataCellStyle="Excel Built-in Normal"/>
    <tableColumn id="44" xr3:uid="{6CF84256-2771-4F0C-99D0-48B0EA073081}" name="High Men" dataDxfId="226" dataCellStyle="Excel Built-in Normal"/>
    <tableColumn id="45" xr3:uid="{A6B2B4CE-3260-4312-A880-189B1BE77019}" name="High Men34" dataDxfId="225" dataCellStyle="Excel Built-in Normal"/>
    <tableColumn id="46" xr3:uid="{DAFB8BC3-17F4-4E5B-A03B-4BC50A882E99}" name="High Men35" dataDxfId="224" dataCellStyle="Excel Built-in Normal"/>
    <tableColumn id="47" xr3:uid="{3DD43608-DFB3-437A-BBAE-903D4C8CCDC7}" name="High Men36" dataDxfId="223" dataCellStyle="Excel Built-in Normal"/>
    <tableColumn id="48" xr3:uid="{77EDBB0B-1D96-4CEC-B42E-475E1363B0CC}" name="High Men37" dataDxfId="222" dataCellStyle="Excel Built-in Normal"/>
    <tableColumn id="49" xr3:uid="{877253A7-FEE9-4DE7-AAE0-6474932D5366}" name="Corsair" dataDxfId="221" dataCellStyle="Excel Built-in Normal"/>
    <tableColumn id="50" xr3:uid="{A91A9764-EE66-4130-870F-6A12F0570997}" name="High Men38" dataDxfId="220" dataCellStyle="Excel Built-in Normal"/>
    <tableColumn id="51" xr3:uid="{2CDD5D53-FFE2-47A6-AA15-A9A34D0464DF}" name="High Men39" dataDxfId="219" dataCellStyle="Excel Built-in Normal"/>
    <tableColumn id="52" xr3:uid="{600D23A6-AE3A-428D-8428-D6CCB9224A03}" name="High Men40" dataDxfId="218" dataCellStyle="Excel Built-in Normal"/>
    <tableColumn id="53" xr3:uid="{80051747-4A23-4EDF-A545-450E15AF1F75}" name="Dwarf41" dataDxfId="217" dataCellStyle="Excel Built-in Normal"/>
    <tableColumn id="103" xr3:uid="{512DEDF0-3A8F-4179-9A1B-B32C699C5BD4}" name="Lossedel" dataDxfId="216" dataCellStyle="Excel Built-in Normal"/>
    <tableColumn id="54" xr3:uid="{29E0F59F-05D3-42C6-A34E-23E815590891}" name="Noldo" dataDxfId="215" dataCellStyle="Excel Built-in Normal"/>
    <tableColumn id="55" xr3:uid="{8C0C0CE5-9C80-4FB4-90A8-0A47F2F0F6A4}" name="Silvan" dataDxfId="214" dataCellStyle="Excel Built-in Normal"/>
    <tableColumn id="56" xr3:uid="{BBD681E1-897A-4D57-94C1-D25D5E80D202}" name="Sinda" dataDxfId="213" dataCellStyle="Excel Built-in Normal"/>
    <tableColumn id="57" xr3:uid="{96F67602-56B6-450C-995F-7185D9B7336B}" name="Half Elf" dataDxfId="212" dataCellStyle="Excel Built-in Normal"/>
    <tableColumn id="58" xr3:uid="{90183114-AF29-4DD1-87DA-EA585DE974DB}" name="Eriedain" dataDxfId="211" dataCellStyle="Excel Built-in Normal"/>
    <tableColumn id="59" xr3:uid="{C1275F40-5C3F-4CA5-AB56-70B5DE9B1C97}" name="Bear tribes" dataDxfId="210" dataCellStyle="Excel Built-in Normal"/>
    <tableColumn id="60" xr3:uid="{AD15CFE1-1D17-4691-8393-D7E18FF0E38D}" name="Eriedain42" dataDxfId="209" dataCellStyle="Excel Built-in Normal"/>
    <tableColumn id="61" xr3:uid="{3E2DC5FB-09E4-4532-8CBD-D20D967F0836}" name="Eriedain43" dataDxfId="208" dataCellStyle="Excel Built-in Normal"/>
    <tableColumn id="62" xr3:uid="{2F250D47-1419-4DDB-811E-A8CE398148F6}" name="Eriedain44" dataDxfId="207" dataCellStyle="Excel Built-in Normal"/>
    <tableColumn id="63" xr3:uid="{C7035F90-7CC2-4AED-BA4E-800C1CD05EF6}" name="Eriedain45" dataDxfId="206" dataCellStyle="Excel Built-in Normal"/>
    <tableColumn id="64" xr3:uid="{0234C8C3-FE42-4E9D-B601-854F328686C4}" name="Eriedain46" dataDxfId="205" dataCellStyle="Excel Built-in Normal"/>
    <tableColumn id="65" xr3:uid="{D40F8562-C7E1-4B7C-9F8F-11199C5C4CAD}" name="Eriedain47" dataDxfId="204" dataCellStyle="Excel Built-in Normal"/>
    <tableColumn id="66" xr3:uid="{6A67EAFA-9FC0-4DFC-93DB-18E1761D7573}" name="Eriedain48" dataDxfId="203" dataCellStyle="Excel Built-in Normal"/>
    <tableColumn id="67" xr3:uid="{A5D8BDA2-29E2-4F00-9F28-D54B73673CED}" name="Eriedain49" dataDxfId="202" dataCellStyle="Excel Built-in Normal"/>
    <tableColumn id="68" xr3:uid="{3787F55E-CC7A-4C35-A949-DFD69E73FE74}" name="Haradrim, N" dataDxfId="201" dataCellStyle="Excel Built-in Normal"/>
    <tableColumn id="69" xr3:uid="{AD78851D-8DA7-4ADB-B279-E245191C00EC}" name="Haradrim, S" dataDxfId="200" dataCellStyle="Excel Built-in Normal"/>
    <tableColumn id="70" xr3:uid="{F20EB791-6240-41ED-821F-5E8DE11F8BBE}" name="Hobbit" dataDxfId="199" dataCellStyle="Excel Built-in Normal"/>
    <tableColumn id="71" xr3:uid="{53F52587-93CB-4D3F-8572-8EBDAE097D4C}" name="Hobbit50" dataDxfId="198" dataCellStyle="Excel Built-in Normal"/>
    <tableColumn id="72" xr3:uid="{CB5E22DE-75FD-4F37-8C19-FB7523A17D04}" name="Hobbit51" dataDxfId="197" dataCellStyle="Excel Built-in Normal"/>
    <tableColumn id="73" xr3:uid="{7B91DB91-25D9-43E8-8C80-9B01A6E6A5A3}" name="Lossoth" dataDxfId="196" dataCellStyle="Excel Built-in Normal"/>
    <tableColumn id="74" xr3:uid="{AFBCBB68-292E-42A0-B296-50BDB5154C72}" name="Lossoth52" dataDxfId="195" dataCellStyle="Excel Built-in Normal"/>
    <tableColumn id="75" xr3:uid="{CACF9983-5DE3-4C7B-90E5-4832FB7909A2}" name="Lossoth53" dataDxfId="194" dataCellStyle="Excel Built-in Normal"/>
    <tableColumn id="76" xr3:uid="{0A244F16-A52F-48FD-9CE1-8C45C6E6A16B}" name="Lossoth54" dataDxfId="193" dataCellStyle="Excel Built-in Normal"/>
    <tableColumn id="77" xr3:uid="{B10FB16C-2CF9-490C-871A-5E7459D3F448}" name="Talatherim" dataDxfId="192" dataCellStyle="Excel Built-in Normal"/>
    <tableColumn id="78" xr3:uid="{02EEBADF-0842-4CFD-B80E-E996BFA06B6E}" name="Talatherim55" dataDxfId="191" dataCellStyle="Excel Built-in Normal"/>
    <tableColumn id="79" xr3:uid="{18A875B2-04F7-42B0-9480-8931612615E4}" name="Talatherim56" dataDxfId="190" dataCellStyle="Excel Built-in Normal"/>
    <tableColumn id="80" xr3:uid="{16F47187-853E-4D5F-95C8-05430BCBA51F}" name="Talatherim57" dataDxfId="189" dataCellStyle="Excel Built-in Normal"/>
    <tableColumn id="81" xr3:uid="{7B787371-A411-4DDC-B89A-0A0F05D9841E}" name="Talatherim58" dataDxfId="188" dataCellStyle="Excel Built-in Normal"/>
    <tableColumn id="82" xr3:uid="{14B6ADCE-C8E2-45B5-8E8A-CC23873D78A2}" name="Talatherim59" dataDxfId="187" dataCellStyle="Excel Built-in Normal"/>
    <tableColumn id="83" xr3:uid="{64331628-DA21-4A10-B9E2-29E800E59EBA}" name="Talatherim60" dataDxfId="186" dataCellStyle="Excel Built-in Normal"/>
    <tableColumn id="84" xr3:uid="{FA56B888-9719-48CD-B9C7-1FEC18564772}" name="Talatherim61" dataDxfId="185" dataCellStyle="Excel Built-in Normal"/>
    <tableColumn id="85" xr3:uid="{3A487906-2502-45DF-8A6C-42E60F5EC243}" name="Talatherim62" dataDxfId="184" dataCellStyle="Excel Built-in Normal"/>
    <tableColumn id="86" xr3:uid="{748B97D9-DD08-43EA-9D30-820171D1B6F0}" name="Chey" dataDxfId="183" dataCellStyle="Excel Built-in Normal"/>
    <tableColumn id="87" xr3:uid="{1BAC6C1F-5BCD-4340-BE24-04038C988A6F}" name="Womaw" dataDxfId="182" dataCellStyle="Excel Built-in Normal"/>
    <tableColumn id="88" xr3:uid="{692ADA83-8833-4D31-A2AA-BCB8612DB63D}" name="Urd" dataDxfId="181" dataCellStyle="Excel Built-in Normal"/>
    <tableColumn id="89" xr3:uid="{77A54282-0738-4BA3-B2F0-0D190379736A}" name="Umli" dataDxfId="180" dataCellStyle="Excel Built-in Normal"/>
    <tableColumn id="90" xr3:uid="{CAEE81EE-EB76-4F67-91DB-71590FE3B49F}" name="Woses" dataDxfId="179" dataCellStyle="Excel Built-in Normal"/>
    <tableColumn id="91" xr3:uid="{E833FF95-AD0F-4D75-82B3-1327A983270C}" name="Common Orc" dataDxfId="178" dataCellStyle="Excel Built-in Normal"/>
    <tableColumn id="92" xr3:uid="{097AB697-A5AD-462D-BDD9-EAFB90DB8687}" name="Uruk-Hai" dataDxfId="177" dataCellStyle="Excel Built-in Normal"/>
    <tableColumn id="93" xr3:uid="{5E2A1AC0-0935-41C0-A21E-90709663539F}" name="Half Orcs" dataDxfId="176" dataCellStyle="Excel Built-in Normal"/>
    <tableColumn id="94" xr3:uid="{884CD03C-34D5-44A7-9E6F-4DF73B443353}" name="Trolls" dataDxfId="175" dataCellStyle="Excel Built-in Normal"/>
    <tableColumn id="95" xr3:uid="{36E26130-0C61-4E1F-B15C-40F12AC79BFB}" name="Trolls63" dataDxfId="174" dataCellStyle="Excel Built-in Normal"/>
    <tableColumn id="96" xr3:uid="{780E9088-8FC6-4B98-9920-F02CB1D60962}" name="Trolls64" dataDxfId="173" dataCellStyle="Excel Built-in Normal"/>
    <tableColumn id="97" xr3:uid="{7427955A-44DE-43EA-AD32-339FAE65EFA4}" name="Trolls65" dataDxfId="172" dataCellStyle="Excel Built-in Normal"/>
    <tableColumn id="98" xr3:uid="{919F32E1-5F6F-4E23-BF54-A288659BBC9E}" name="Trolls66" dataDxfId="171" dataCellStyle="Excel Built-in Normal"/>
    <tableColumn id="99" xr3:uid="{8E2C358E-7B3E-4D6D-918E-B475BB93563A}" name="Trolls67" dataDxfId="170" dataCellStyle="Excel Built-in Normal"/>
    <tableColumn id="100" xr3:uid="{D34E6BDC-D647-4426-891F-69095110286E}" name="Sarake68" dataDxfId="169" dataCellStyle="Excel Built-in Normal"/>
    <tableColumn id="101" xr3:uid="{FC5EC092-2E2C-4AB1-9AF9-B7B559BB836F}" name="Sarake69" dataDxfId="168" dataCellStyle="Excel Built-in Normal"/>
    <tableColumn id="102" xr3:uid="{8A891507-4608-4941-96D8-93B12D0F4C3F}" name="Hakua varten" dataDxfId="167" dataCellStyle="Excel Built-in Normal"/>
  </tableColumns>
  <tableStyleInfo name="TableStyleMedium2" showFirstColumn="0" showLastColumn="0" showRowStripes="1" showColumnStripes="0"/>
</table>
</file>

<file path=xl/theme/theme1.xml><?xml version="1.0" encoding="utf-8"?>
<a:theme xmlns:a="http://schemas.openxmlformats.org/drawingml/2006/main" name="Office-te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www.kuittaa.fi/newrpg/sekal/houserules/TP.pdf" TargetMode="External"/><Relationship Id="rId2" Type="http://schemas.openxmlformats.org/officeDocument/2006/relationships/hyperlink" Target="http://easydamus.com/alignmentreal.html" TargetMode="External"/><Relationship Id="rId1" Type="http://schemas.openxmlformats.org/officeDocument/2006/relationships/hyperlink" Target="http://easydamus.com/alignmenttest.html"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3" Type="http://schemas.openxmlformats.org/officeDocument/2006/relationships/hyperlink" Target="http://forgottenrealms.wikia.com/wiki/Ghostwise_halfling" TargetMode="External"/><Relationship Id="rId18" Type="http://schemas.openxmlformats.org/officeDocument/2006/relationships/hyperlink" Target="http://forgottenrealms.wikia.com/wiki/Halruaan_(ethnicity)" TargetMode="External"/><Relationship Id="rId26" Type="http://schemas.openxmlformats.org/officeDocument/2006/relationships/hyperlink" Target="http://forgottenrealms.wikia.com/wiki/Nar_(ethnicity)" TargetMode="External"/><Relationship Id="rId21" Type="http://schemas.openxmlformats.org/officeDocument/2006/relationships/hyperlink" Target="http://forgottenrealms.wikia.com/wiki/Deep%20Imaskari" TargetMode="External"/><Relationship Id="rId34" Type="http://schemas.openxmlformats.org/officeDocument/2006/relationships/hyperlink" Target="http://forgottenrealms.wikia.com/wiki/Ulutiun" TargetMode="External"/><Relationship Id="rId7" Type="http://schemas.openxmlformats.org/officeDocument/2006/relationships/hyperlink" Target="http://forgottenrealms.wikia.com/wiki/Deep_gnomes" TargetMode="External"/><Relationship Id="rId12" Type="http://schemas.openxmlformats.org/officeDocument/2006/relationships/hyperlink" Target="http://forgottenrealms.wikia.com/wiki/Forest_gnome" TargetMode="External"/><Relationship Id="rId17" Type="http://schemas.openxmlformats.org/officeDocument/2006/relationships/hyperlink" Target="http://forgottenrealms.wikia.com/wiki/Half-orc" TargetMode="External"/><Relationship Id="rId25" Type="http://schemas.openxmlformats.org/officeDocument/2006/relationships/hyperlink" Target="http://forgottenrealms.wikia.com/wiki/Mulan" TargetMode="External"/><Relationship Id="rId33" Type="http://schemas.openxmlformats.org/officeDocument/2006/relationships/hyperlink" Target="http://forgottenrealms.wikia.com/wiki/Tuigan" TargetMode="External"/><Relationship Id="rId2" Type="http://schemas.openxmlformats.org/officeDocument/2006/relationships/hyperlink" Target="http://forgottenrealms.wikia.com/wiki/Arkaiun" TargetMode="External"/><Relationship Id="rId16" Type="http://schemas.openxmlformats.org/officeDocument/2006/relationships/hyperlink" Target="http://forgottenrealms.wikia.com/wiki/Half-elf" TargetMode="External"/><Relationship Id="rId20" Type="http://schemas.openxmlformats.org/officeDocument/2006/relationships/hyperlink" Target="http://forgottenrealms.wikia.com/wiki/Illuskan" TargetMode="External"/><Relationship Id="rId29" Type="http://schemas.openxmlformats.org/officeDocument/2006/relationships/hyperlink" Target="http://forgottenrealms.wikia.com/wiki/Shaaran" TargetMode="External"/><Relationship Id="rId1" Type="http://schemas.openxmlformats.org/officeDocument/2006/relationships/hyperlink" Target="http://forgottenrealms.wikia.com/wiki/Aquatic_elf" TargetMode="External"/><Relationship Id="rId6" Type="http://schemas.openxmlformats.org/officeDocument/2006/relationships/hyperlink" Target="http://forgottenrealms.wikia.com/wiki/Damaran" TargetMode="External"/><Relationship Id="rId11" Type="http://schemas.openxmlformats.org/officeDocument/2006/relationships/hyperlink" Target="http://forgottenrealms.wikia.com/wiki/Ffolk" TargetMode="External"/><Relationship Id="rId24" Type="http://schemas.openxmlformats.org/officeDocument/2006/relationships/hyperlink" Target="http://forgottenrealms.wikia.com/wiki/Shield_dwarf" TargetMode="External"/><Relationship Id="rId32" Type="http://schemas.openxmlformats.org/officeDocument/2006/relationships/hyperlink" Target="http://forgottenrealms.wikia.com/wiki/Tethyrian" TargetMode="External"/><Relationship Id="rId37" Type="http://schemas.openxmlformats.org/officeDocument/2006/relationships/printerSettings" Target="../printerSettings/printerSettings4.bin"/><Relationship Id="rId5" Type="http://schemas.openxmlformats.org/officeDocument/2006/relationships/hyperlink" Target="http://forgottenrealms.wikia.com/wiki/Orc" TargetMode="External"/><Relationship Id="rId15" Type="http://schemas.openxmlformats.org/officeDocument/2006/relationships/hyperlink" Target="http://forgottenrealms.wikia.com/wiki/Gur" TargetMode="External"/><Relationship Id="rId23" Type="http://schemas.openxmlformats.org/officeDocument/2006/relationships/hyperlink" Target="http://forgottenrealms.wikia.com/wiki/Moon_elf" TargetMode="External"/><Relationship Id="rId28" Type="http://schemas.openxmlformats.org/officeDocument/2006/relationships/hyperlink" Target="http://forgottenrealms.wikia.com/wiki/Rock_gnomes" TargetMode="External"/><Relationship Id="rId36" Type="http://schemas.openxmlformats.org/officeDocument/2006/relationships/hyperlink" Target="http://forgottenrealms.wikia.com/wiki/Bedine" TargetMode="External"/><Relationship Id="rId10" Type="http://schemas.openxmlformats.org/officeDocument/2006/relationships/hyperlink" Target="http://forgottenrealms.wikia.com/wiki/Drow" TargetMode="External"/><Relationship Id="rId19" Type="http://schemas.openxmlformats.org/officeDocument/2006/relationships/hyperlink" Target="http://forgottenrealms.wikia.com/wiki/Gold_dwarf" TargetMode="External"/><Relationship Id="rId31" Type="http://schemas.openxmlformats.org/officeDocument/2006/relationships/hyperlink" Target="http://forgottenrealms.wikia.com/wiki/Sun_elf" TargetMode="External"/><Relationship Id="rId4" Type="http://schemas.openxmlformats.org/officeDocument/2006/relationships/hyperlink" Target="http://forgottenrealms.wikia.com/wiki/Chondathan" TargetMode="External"/><Relationship Id="rId9" Type="http://schemas.openxmlformats.org/officeDocument/2006/relationships/hyperlink" Target="http://forgottenrealms.wikia.com/wiki/Drow" TargetMode="External"/><Relationship Id="rId14" Type="http://schemas.openxmlformats.org/officeDocument/2006/relationships/hyperlink" Target="http://forgottenrealms.wikia.com/wiki/Duergar" TargetMode="External"/><Relationship Id="rId22" Type="http://schemas.openxmlformats.org/officeDocument/2006/relationships/hyperlink" Target="http://forgottenrealms.wikia.com/wiki/Lightfoot_halfling" TargetMode="External"/><Relationship Id="rId27" Type="http://schemas.openxmlformats.org/officeDocument/2006/relationships/hyperlink" Target="http://forgottenrealms.wikia.com/wiki/Rashemi" TargetMode="External"/><Relationship Id="rId30" Type="http://schemas.openxmlformats.org/officeDocument/2006/relationships/hyperlink" Target="http://forgottenrealms.wikia.com/wiki/Strongheart_halfling" TargetMode="External"/><Relationship Id="rId35" Type="http://schemas.openxmlformats.org/officeDocument/2006/relationships/hyperlink" Target="http://forgottenrealms.wikia.com/wiki/Wild_elf" TargetMode="External"/><Relationship Id="rId8" Type="http://schemas.openxmlformats.org/officeDocument/2006/relationships/hyperlink" Target="http://forgottenrealms.wikia.com/wiki/Dragonborn" TargetMode="External"/><Relationship Id="rId3" Type="http://schemas.openxmlformats.org/officeDocument/2006/relationships/hyperlink" Target="http://forgottenrealms.wikia.com/wiki/Calishite" TargetMode="External"/></Relationships>
</file>

<file path=xl/worksheets/_rels/sheet6.xml.rels><?xml version="1.0" encoding="UTF-8" standalone="yes"?>
<Relationships xmlns="http://schemas.openxmlformats.org/package/2006/relationships"><Relationship Id="rId8" Type="http://schemas.openxmlformats.org/officeDocument/2006/relationships/table" Target="../tables/table8.xml"/><Relationship Id="rId3" Type="http://schemas.openxmlformats.org/officeDocument/2006/relationships/table" Target="../tables/table3.xml"/><Relationship Id="rId7" Type="http://schemas.openxmlformats.org/officeDocument/2006/relationships/table" Target="../tables/table7.xml"/><Relationship Id="rId12" Type="http://schemas.openxmlformats.org/officeDocument/2006/relationships/table" Target="../tables/table12.xml"/><Relationship Id="rId2" Type="http://schemas.openxmlformats.org/officeDocument/2006/relationships/table" Target="../tables/table2.xml"/><Relationship Id="rId1" Type="http://schemas.openxmlformats.org/officeDocument/2006/relationships/table" Target="../tables/table1.xml"/><Relationship Id="rId6" Type="http://schemas.openxmlformats.org/officeDocument/2006/relationships/table" Target="../tables/table6.xml"/><Relationship Id="rId11" Type="http://schemas.openxmlformats.org/officeDocument/2006/relationships/table" Target="../tables/table11.xml"/><Relationship Id="rId5" Type="http://schemas.openxmlformats.org/officeDocument/2006/relationships/table" Target="../tables/table5.xml"/><Relationship Id="rId10" Type="http://schemas.openxmlformats.org/officeDocument/2006/relationships/table" Target="../tables/table10.xml"/><Relationship Id="rId4" Type="http://schemas.openxmlformats.org/officeDocument/2006/relationships/table" Target="../tables/table4.xml"/><Relationship Id="rId9" Type="http://schemas.openxmlformats.org/officeDocument/2006/relationships/table" Target="../tables/table9.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table" Target="../tables/table14.xml"/><Relationship Id="rId1" Type="http://schemas.openxmlformats.org/officeDocument/2006/relationships/table" Target="../tables/table13.xml"/></Relationships>
</file>

<file path=xl/worksheets/_rels/sheet9.xml.rels><?xml version="1.0" encoding="UTF-8" standalone="yes"?>
<Relationships xmlns="http://schemas.openxmlformats.org/package/2006/relationships"><Relationship Id="rId1" Type="http://schemas.openxmlformats.org/officeDocument/2006/relationships/table" Target="../tables/table1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110"/>
  <sheetViews>
    <sheetView tabSelected="1" workbookViewId="0">
      <selection activeCell="D3" sqref="D3"/>
    </sheetView>
  </sheetViews>
  <sheetFormatPr defaultColWidth="9.140625" defaultRowHeight="11.25" x14ac:dyDescent="0.2"/>
  <cols>
    <col min="1" max="1" width="9.140625" style="74"/>
    <col min="2" max="2" width="49" style="74" bestFit="1" customWidth="1"/>
    <col min="3" max="3" width="41.5703125" style="74" bestFit="1" customWidth="1"/>
    <col min="4" max="4" width="10.140625" style="74" bestFit="1" customWidth="1"/>
    <col min="5" max="16384" width="9.140625" style="74"/>
  </cols>
  <sheetData>
    <row r="1" spans="1:4" x14ac:dyDescent="0.2">
      <c r="A1" s="76" t="s">
        <v>4019</v>
      </c>
      <c r="B1" s="76" t="s">
        <v>3977</v>
      </c>
      <c r="C1" s="76" t="s">
        <v>3994</v>
      </c>
      <c r="D1" s="76" t="s">
        <v>3978</v>
      </c>
    </row>
    <row r="2" spans="1:4" x14ac:dyDescent="0.2">
      <c r="A2" s="75" t="s">
        <v>5576</v>
      </c>
      <c r="B2" s="74" t="s">
        <v>5577</v>
      </c>
      <c r="D2" s="74" t="s">
        <v>5578</v>
      </c>
    </row>
    <row r="4" spans="1:4" x14ac:dyDescent="0.2">
      <c r="A4" s="76" t="s">
        <v>4019</v>
      </c>
      <c r="B4" s="76" t="s">
        <v>3977</v>
      </c>
      <c r="C4" s="76" t="s">
        <v>3994</v>
      </c>
      <c r="D4" s="76" t="s">
        <v>3978</v>
      </c>
    </row>
    <row r="5" spans="1:4" x14ac:dyDescent="0.2">
      <c r="A5" s="75" t="s">
        <v>5564</v>
      </c>
      <c r="B5" s="74" t="s">
        <v>5565</v>
      </c>
      <c r="C5" s="74" t="s">
        <v>5570</v>
      </c>
    </row>
    <row r="6" spans="1:4" x14ac:dyDescent="0.2">
      <c r="B6" s="74" t="s">
        <v>5566</v>
      </c>
    </row>
    <row r="7" spans="1:4" x14ac:dyDescent="0.2">
      <c r="B7" s="74" t="s">
        <v>5568</v>
      </c>
      <c r="C7" s="74" t="s">
        <v>5569</v>
      </c>
    </row>
    <row r="8" spans="1:4" x14ac:dyDescent="0.2">
      <c r="B8" s="74" t="s">
        <v>5567</v>
      </c>
    </row>
    <row r="9" spans="1:4" x14ac:dyDescent="0.2">
      <c r="B9" s="74" t="s">
        <v>5573</v>
      </c>
    </row>
    <row r="10" spans="1:4" x14ac:dyDescent="0.2">
      <c r="B10" s="74" t="s">
        <v>5574</v>
      </c>
      <c r="C10" s="74" t="s">
        <v>5575</v>
      </c>
    </row>
    <row r="12" spans="1:4" x14ac:dyDescent="0.2">
      <c r="A12" s="76" t="s">
        <v>4019</v>
      </c>
      <c r="B12" s="76" t="s">
        <v>3977</v>
      </c>
      <c r="C12" s="76" t="s">
        <v>3994</v>
      </c>
      <c r="D12" s="76" t="s">
        <v>3978</v>
      </c>
    </row>
    <row r="13" spans="1:4" x14ac:dyDescent="0.2">
      <c r="A13" s="75" t="s">
        <v>4924</v>
      </c>
      <c r="B13" s="74" t="s">
        <v>4625</v>
      </c>
    </row>
    <row r="14" spans="1:4" x14ac:dyDescent="0.2">
      <c r="B14" s="74" t="s">
        <v>4608</v>
      </c>
      <c r="D14" s="74" t="s">
        <v>4609</v>
      </c>
    </row>
    <row r="15" spans="1:4" x14ac:dyDescent="0.2">
      <c r="B15" s="74" t="s">
        <v>4611</v>
      </c>
      <c r="D15" s="74" t="s">
        <v>4612</v>
      </c>
    </row>
    <row r="16" spans="1:4" x14ac:dyDescent="0.2">
      <c r="B16" s="74" t="s">
        <v>4613</v>
      </c>
      <c r="C16" s="74" t="s">
        <v>4614</v>
      </c>
      <c r="D16" s="74" t="s">
        <v>4615</v>
      </c>
    </row>
    <row r="17" spans="1:4" x14ac:dyDescent="0.2">
      <c r="B17" s="74" t="s">
        <v>4619</v>
      </c>
      <c r="C17" s="74" t="s">
        <v>4620</v>
      </c>
    </row>
    <row r="18" spans="1:4" x14ac:dyDescent="0.2">
      <c r="B18" s="74" t="s">
        <v>4649</v>
      </c>
      <c r="C18" s="74" t="s">
        <v>4917</v>
      </c>
    </row>
    <row r="19" spans="1:4" x14ac:dyDescent="0.2">
      <c r="B19" s="74" t="s">
        <v>4925</v>
      </c>
      <c r="C19" s="74" t="s">
        <v>4926</v>
      </c>
    </row>
    <row r="20" spans="1:4" x14ac:dyDescent="0.2">
      <c r="B20" s="74" t="s">
        <v>4934</v>
      </c>
      <c r="D20" s="74" t="s">
        <v>4935</v>
      </c>
    </row>
    <row r="21" spans="1:4" x14ac:dyDescent="0.2">
      <c r="B21" s="74" t="s">
        <v>5009</v>
      </c>
      <c r="C21" s="74" t="s">
        <v>5010</v>
      </c>
    </row>
    <row r="22" spans="1:4" x14ac:dyDescent="0.2">
      <c r="B22" s="74" t="s">
        <v>5013</v>
      </c>
    </row>
    <row r="23" spans="1:4" x14ac:dyDescent="0.2">
      <c r="B23" s="74" t="s">
        <v>5017</v>
      </c>
    </row>
    <row r="24" spans="1:4" x14ac:dyDescent="0.2">
      <c r="B24" s="74" t="s">
        <v>5469</v>
      </c>
    </row>
    <row r="25" spans="1:4" x14ac:dyDescent="0.2">
      <c r="B25" s="74" t="s">
        <v>5527</v>
      </c>
    </row>
    <row r="26" spans="1:4" x14ac:dyDescent="0.2">
      <c r="B26" s="74" t="s">
        <v>5544</v>
      </c>
    </row>
    <row r="27" spans="1:4" x14ac:dyDescent="0.2">
      <c r="B27" s="74" t="s">
        <v>5496</v>
      </c>
    </row>
    <row r="29" spans="1:4" x14ac:dyDescent="0.2">
      <c r="A29" s="76" t="s">
        <v>4019</v>
      </c>
      <c r="B29" s="76" t="s">
        <v>3977</v>
      </c>
      <c r="C29" s="76" t="s">
        <v>3994</v>
      </c>
      <c r="D29" s="76" t="s">
        <v>3978</v>
      </c>
    </row>
    <row r="30" spans="1:4" x14ac:dyDescent="0.2">
      <c r="A30" s="75" t="s">
        <v>4605</v>
      </c>
      <c r="B30" s="74" t="s">
        <v>4318</v>
      </c>
    </row>
    <row r="31" spans="1:4" x14ac:dyDescent="0.2">
      <c r="B31" s="74" t="s">
        <v>4317</v>
      </c>
    </row>
    <row r="32" spans="1:4" x14ac:dyDescent="0.2">
      <c r="B32" s="74" t="s">
        <v>4426</v>
      </c>
    </row>
    <row r="33" spans="1:4" x14ac:dyDescent="0.2">
      <c r="B33" s="74" t="s">
        <v>4625</v>
      </c>
    </row>
    <row r="34" spans="1:4" x14ac:dyDescent="0.2">
      <c r="B34" s="74" t="s">
        <v>4594</v>
      </c>
    </row>
    <row r="35" spans="1:4" x14ac:dyDescent="0.2">
      <c r="B35" s="74" t="s">
        <v>4600</v>
      </c>
      <c r="C35" s="74" t="s">
        <v>4601</v>
      </c>
      <c r="D35" s="74" t="s">
        <v>4610</v>
      </c>
    </row>
    <row r="36" spans="1:4" x14ac:dyDescent="0.2">
      <c r="B36" s="74" t="s">
        <v>4606</v>
      </c>
      <c r="C36" s="74" t="s">
        <v>4607</v>
      </c>
    </row>
    <row r="38" spans="1:4" x14ac:dyDescent="0.2">
      <c r="A38" s="76" t="s">
        <v>4019</v>
      </c>
      <c r="B38" s="76" t="s">
        <v>3977</v>
      </c>
      <c r="C38" s="76" t="s">
        <v>3994</v>
      </c>
      <c r="D38" s="76" t="s">
        <v>3978</v>
      </c>
    </row>
    <row r="39" spans="1:4" x14ac:dyDescent="0.2">
      <c r="A39" s="75" t="s">
        <v>4306</v>
      </c>
      <c r="B39" s="74" t="s">
        <v>4307</v>
      </c>
      <c r="C39" s="74" t="s">
        <v>4308</v>
      </c>
      <c r="D39" s="74" t="s">
        <v>4315</v>
      </c>
    </row>
    <row r="40" spans="1:4" x14ac:dyDescent="0.2">
      <c r="A40" s="75"/>
      <c r="B40" s="74" t="s">
        <v>4312</v>
      </c>
      <c r="C40" s="74" t="s">
        <v>4313</v>
      </c>
      <c r="D40" s="74" t="s">
        <v>4316</v>
      </c>
    </row>
    <row r="42" spans="1:4" x14ac:dyDescent="0.2">
      <c r="A42" s="76" t="s">
        <v>4019</v>
      </c>
      <c r="B42" s="76" t="s">
        <v>3977</v>
      </c>
      <c r="C42" s="76" t="s">
        <v>3994</v>
      </c>
      <c r="D42" s="76" t="s">
        <v>3978</v>
      </c>
    </row>
    <row r="43" spans="1:4" x14ac:dyDescent="0.2">
      <c r="A43" s="75" t="s">
        <v>4301</v>
      </c>
      <c r="B43" s="74" t="s">
        <v>4302</v>
      </c>
      <c r="C43" s="74" t="s">
        <v>4303</v>
      </c>
      <c r="D43" s="74" t="s">
        <v>4314</v>
      </c>
    </row>
    <row r="44" spans="1:4" x14ac:dyDescent="0.2">
      <c r="A44" s="75"/>
    </row>
    <row r="45" spans="1:4" x14ac:dyDescent="0.2">
      <c r="A45" s="76" t="s">
        <v>4019</v>
      </c>
      <c r="B45" s="76" t="s">
        <v>3977</v>
      </c>
      <c r="C45" s="76" t="s">
        <v>3994</v>
      </c>
      <c r="D45" s="76" t="s">
        <v>3978</v>
      </c>
    </row>
    <row r="46" spans="1:4" x14ac:dyDescent="0.2">
      <c r="A46" s="75" t="s">
        <v>4300</v>
      </c>
      <c r="B46" s="74" t="s">
        <v>4297</v>
      </c>
      <c r="C46" s="74" t="s">
        <v>4296</v>
      </c>
    </row>
    <row r="47" spans="1:4" x14ac:dyDescent="0.2">
      <c r="B47" s="74" t="s">
        <v>4298</v>
      </c>
      <c r="C47" s="74" t="s">
        <v>4299</v>
      </c>
    </row>
    <row r="50" spans="1:4" x14ac:dyDescent="0.2">
      <c r="A50" s="76" t="s">
        <v>4019</v>
      </c>
      <c r="B50" s="76" t="s">
        <v>3977</v>
      </c>
      <c r="C50" s="76" t="s">
        <v>3994</v>
      </c>
      <c r="D50" s="76" t="s">
        <v>3978</v>
      </c>
    </row>
    <row r="51" spans="1:4" x14ac:dyDescent="0.2">
      <c r="A51" s="75" t="s">
        <v>4293</v>
      </c>
      <c r="B51" s="74" t="s">
        <v>4294</v>
      </c>
    </row>
    <row r="52" spans="1:4" x14ac:dyDescent="0.2">
      <c r="B52" s="74" t="s">
        <v>4295</v>
      </c>
    </row>
    <row r="57" spans="1:4" x14ac:dyDescent="0.2">
      <c r="A57" s="76" t="s">
        <v>4019</v>
      </c>
      <c r="B57" s="76" t="s">
        <v>3977</v>
      </c>
      <c r="C57" s="76" t="s">
        <v>3994</v>
      </c>
      <c r="D57" s="76" t="s">
        <v>3978</v>
      </c>
    </row>
    <row r="58" spans="1:4" x14ac:dyDescent="0.2">
      <c r="A58" s="75" t="s">
        <v>4260</v>
      </c>
      <c r="B58" s="74" t="s">
        <v>4261</v>
      </c>
      <c r="C58" s="74" t="s">
        <v>4262</v>
      </c>
      <c r="D58" s="74" t="s">
        <v>4121</v>
      </c>
    </row>
    <row r="59" spans="1:4" x14ac:dyDescent="0.2">
      <c r="B59" s="74" t="s">
        <v>4263</v>
      </c>
    </row>
    <row r="60" spans="1:4" x14ac:dyDescent="0.2">
      <c r="B60" s="74" t="s">
        <v>4265</v>
      </c>
    </row>
    <row r="61" spans="1:4" x14ac:dyDescent="0.2">
      <c r="B61" s="74" t="s">
        <v>4266</v>
      </c>
    </row>
    <row r="62" spans="1:4" x14ac:dyDescent="0.2">
      <c r="B62" s="74" t="s">
        <v>4267</v>
      </c>
      <c r="C62" s="74" t="s">
        <v>4268</v>
      </c>
    </row>
    <row r="63" spans="1:4" x14ac:dyDescent="0.2">
      <c r="B63" s="74" t="s">
        <v>4289</v>
      </c>
    </row>
    <row r="64" spans="1:4" x14ac:dyDescent="0.2">
      <c r="B64" s="74" t="s">
        <v>4291</v>
      </c>
      <c r="D64" s="74" t="s">
        <v>4292</v>
      </c>
    </row>
    <row r="66" spans="1:4" x14ac:dyDescent="0.2">
      <c r="A66" s="76" t="s">
        <v>4019</v>
      </c>
      <c r="B66" s="76" t="s">
        <v>3977</v>
      </c>
      <c r="C66" s="76" t="s">
        <v>3994</v>
      </c>
      <c r="D66" s="76" t="s">
        <v>3978</v>
      </c>
    </row>
    <row r="67" spans="1:4" x14ac:dyDescent="0.2">
      <c r="A67" s="75" t="s">
        <v>4119</v>
      </c>
      <c r="B67" s="74" t="s">
        <v>4120</v>
      </c>
      <c r="D67" s="74" t="s">
        <v>4121</v>
      </c>
    </row>
    <row r="68" spans="1:4" x14ac:dyDescent="0.2">
      <c r="B68" s="74" t="s">
        <v>4122</v>
      </c>
    </row>
    <row r="69" spans="1:4" x14ac:dyDescent="0.2">
      <c r="B69" s="74" t="s">
        <v>4123</v>
      </c>
    </row>
    <row r="70" spans="1:4" x14ac:dyDescent="0.2">
      <c r="B70" s="74" t="s">
        <v>4125</v>
      </c>
    </row>
    <row r="71" spans="1:4" x14ac:dyDescent="0.2">
      <c r="B71" s="74" t="s">
        <v>4126</v>
      </c>
    </row>
    <row r="72" spans="1:4" x14ac:dyDescent="0.2">
      <c r="B72" s="74" t="s">
        <v>4129</v>
      </c>
    </row>
    <row r="73" spans="1:4" x14ac:dyDescent="0.2">
      <c r="B73" s="74" t="s">
        <v>4140</v>
      </c>
    </row>
    <row r="74" spans="1:4" x14ac:dyDescent="0.2">
      <c r="B74" s="74" t="s">
        <v>4264</v>
      </c>
      <c r="D74" s="74" t="s">
        <v>4249</v>
      </c>
    </row>
    <row r="76" spans="1:4" x14ac:dyDescent="0.2">
      <c r="A76" s="76" t="s">
        <v>4019</v>
      </c>
      <c r="B76" s="76" t="s">
        <v>3977</v>
      </c>
      <c r="C76" s="76" t="s">
        <v>3994</v>
      </c>
      <c r="D76" s="76" t="s">
        <v>3978</v>
      </c>
    </row>
    <row r="77" spans="1:4" x14ac:dyDescent="0.2">
      <c r="A77" s="75" t="s">
        <v>4108</v>
      </c>
      <c r="B77" s="74" t="s">
        <v>4109</v>
      </c>
    </row>
    <row r="78" spans="1:4" x14ac:dyDescent="0.2">
      <c r="B78" s="74" t="s">
        <v>4110</v>
      </c>
    </row>
    <row r="80" spans="1:4" x14ac:dyDescent="0.2">
      <c r="A80" s="76" t="s">
        <v>4019</v>
      </c>
      <c r="B80" s="76" t="s">
        <v>3977</v>
      </c>
      <c r="C80" s="76" t="s">
        <v>3994</v>
      </c>
      <c r="D80" s="76" t="s">
        <v>3978</v>
      </c>
    </row>
    <row r="81" spans="1:4" x14ac:dyDescent="0.2">
      <c r="A81" s="75" t="s">
        <v>3993</v>
      </c>
      <c r="B81" s="74" t="s">
        <v>3995</v>
      </c>
      <c r="D81" s="74" t="s">
        <v>3991</v>
      </c>
    </row>
    <row r="82" spans="1:4" x14ac:dyDescent="0.2">
      <c r="B82" s="74" t="s">
        <v>3996</v>
      </c>
      <c r="D82" s="74" t="s">
        <v>3992</v>
      </c>
    </row>
    <row r="83" spans="1:4" x14ac:dyDescent="0.2">
      <c r="B83" s="74" t="s">
        <v>3990</v>
      </c>
      <c r="C83" s="74" t="s">
        <v>3997</v>
      </c>
    </row>
    <row r="84" spans="1:4" x14ac:dyDescent="0.2">
      <c r="B84" s="74" t="s">
        <v>3999</v>
      </c>
    </row>
    <row r="85" spans="1:4" x14ac:dyDescent="0.2">
      <c r="B85" s="74" t="s">
        <v>4000</v>
      </c>
    </row>
    <row r="86" spans="1:4" x14ac:dyDescent="0.2">
      <c r="B86" s="74" t="s">
        <v>4001</v>
      </c>
    </row>
    <row r="87" spans="1:4" x14ac:dyDescent="0.2">
      <c r="B87" s="74" t="s">
        <v>4010</v>
      </c>
      <c r="C87" s="74" t="s">
        <v>4007</v>
      </c>
    </row>
    <row r="88" spans="1:4" x14ac:dyDescent="0.2">
      <c r="B88" s="74" t="s">
        <v>4008</v>
      </c>
      <c r="C88" s="74" t="s">
        <v>4009</v>
      </c>
    </row>
    <row r="89" spans="1:4" x14ac:dyDescent="0.2">
      <c r="B89" s="74" t="s">
        <v>4017</v>
      </c>
    </row>
    <row r="90" spans="1:4" x14ac:dyDescent="0.2">
      <c r="B90" s="74" t="s">
        <v>4038</v>
      </c>
      <c r="C90" s="74" t="s">
        <v>4039</v>
      </c>
    </row>
    <row r="92" spans="1:4" x14ac:dyDescent="0.2">
      <c r="A92" s="76" t="s">
        <v>4019</v>
      </c>
      <c r="B92" s="76" t="s">
        <v>3977</v>
      </c>
      <c r="C92" s="76" t="s">
        <v>3994</v>
      </c>
      <c r="D92" s="76" t="s">
        <v>3978</v>
      </c>
    </row>
    <row r="93" spans="1:4" x14ac:dyDescent="0.2">
      <c r="A93" s="75" t="s">
        <v>3971</v>
      </c>
      <c r="B93" s="74" t="s">
        <v>3972</v>
      </c>
      <c r="D93" s="74" t="s">
        <v>3991</v>
      </c>
    </row>
    <row r="94" spans="1:4" x14ac:dyDescent="0.2">
      <c r="B94" s="74" t="s">
        <v>3973</v>
      </c>
      <c r="D94" s="74" t="s">
        <v>3992</v>
      </c>
    </row>
    <row r="95" spans="1:4" x14ac:dyDescent="0.2">
      <c r="B95" s="74" t="s">
        <v>3976</v>
      </c>
      <c r="C95" s="11" t="s">
        <v>3974</v>
      </c>
      <c r="D95" s="74" t="s">
        <v>3979</v>
      </c>
    </row>
    <row r="96" spans="1:4" x14ac:dyDescent="0.2">
      <c r="B96" s="74" t="s">
        <v>3976</v>
      </c>
      <c r="C96" s="11" t="s">
        <v>3975</v>
      </c>
      <c r="D96" s="74" t="s">
        <v>3980</v>
      </c>
    </row>
    <row r="97" spans="2:3" x14ac:dyDescent="0.2">
      <c r="B97" s="74" t="s">
        <v>3981</v>
      </c>
      <c r="C97" s="70" t="s">
        <v>539</v>
      </c>
    </row>
    <row r="98" spans="2:3" x14ac:dyDescent="0.2">
      <c r="B98" s="74" t="s">
        <v>3981</v>
      </c>
      <c r="C98" s="70" t="s">
        <v>544</v>
      </c>
    </row>
    <row r="99" spans="2:3" x14ac:dyDescent="0.2">
      <c r="B99" s="74" t="s">
        <v>3981</v>
      </c>
      <c r="C99" s="70" t="s">
        <v>548</v>
      </c>
    </row>
    <row r="100" spans="2:3" x14ac:dyDescent="0.2">
      <c r="B100" s="74" t="s">
        <v>3981</v>
      </c>
      <c r="C100" s="70" t="s">
        <v>547</v>
      </c>
    </row>
    <row r="101" spans="2:3" x14ac:dyDescent="0.2">
      <c r="B101" s="74" t="s">
        <v>3981</v>
      </c>
      <c r="C101" s="70" t="s">
        <v>591</v>
      </c>
    </row>
    <row r="102" spans="2:3" x14ac:dyDescent="0.2">
      <c r="B102" s="74" t="s">
        <v>3981</v>
      </c>
      <c r="C102" s="70" t="s">
        <v>595</v>
      </c>
    </row>
    <row r="103" spans="2:3" x14ac:dyDescent="0.2">
      <c r="B103" s="74" t="s">
        <v>3981</v>
      </c>
      <c r="C103" s="70" t="s">
        <v>601</v>
      </c>
    </row>
    <row r="104" spans="2:3" x14ac:dyDescent="0.2">
      <c r="B104" s="74" t="s">
        <v>3981</v>
      </c>
      <c r="C104" s="11" t="s">
        <v>600</v>
      </c>
    </row>
    <row r="105" spans="2:3" x14ac:dyDescent="0.2">
      <c r="B105" s="74" t="s">
        <v>3981</v>
      </c>
      <c r="C105" s="70" t="s">
        <v>477</v>
      </c>
    </row>
    <row r="106" spans="2:3" x14ac:dyDescent="0.2">
      <c r="B106" s="74" t="s">
        <v>3982</v>
      </c>
    </row>
    <row r="107" spans="2:3" x14ac:dyDescent="0.2">
      <c r="B107" s="74" t="s">
        <v>3983</v>
      </c>
    </row>
    <row r="108" spans="2:3" x14ac:dyDescent="0.2">
      <c r="B108" s="74" t="s">
        <v>3984</v>
      </c>
      <c r="C108" s="74" t="s">
        <v>727</v>
      </c>
    </row>
    <row r="109" spans="2:3" x14ac:dyDescent="0.2">
      <c r="B109" s="74" t="s">
        <v>3986</v>
      </c>
    </row>
    <row r="110" spans="2:3" x14ac:dyDescent="0.2">
      <c r="B110" s="74" t="s">
        <v>3990</v>
      </c>
      <c r="C110" s="74" t="s">
        <v>3998</v>
      </c>
    </row>
  </sheetData>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M118"/>
  <sheetViews>
    <sheetView workbookViewId="0">
      <selection activeCell="C13" sqref="C13"/>
    </sheetView>
  </sheetViews>
  <sheetFormatPr defaultColWidth="11.5703125" defaultRowHeight="9.75" x14ac:dyDescent="0.2"/>
  <cols>
    <col min="1" max="1" width="9.7109375" style="12" customWidth="1"/>
    <col min="2" max="2" width="6.7109375" style="12" customWidth="1"/>
    <col min="3" max="3" width="8.42578125" style="12" bestFit="1" customWidth="1"/>
    <col min="4" max="16384" width="11.5703125" style="12"/>
  </cols>
  <sheetData>
    <row r="1" spans="1:13" x14ac:dyDescent="0.2">
      <c r="A1" s="12" t="s">
        <v>1142</v>
      </c>
      <c r="B1" s="12" t="s">
        <v>206</v>
      </c>
      <c r="E1" s="12" t="s">
        <v>3940</v>
      </c>
      <c r="F1" s="23">
        <v>2</v>
      </c>
      <c r="G1" s="23">
        <v>3</v>
      </c>
      <c r="H1" s="23">
        <v>4</v>
      </c>
      <c r="I1" s="23">
        <v>5</v>
      </c>
      <c r="J1" s="23">
        <v>6</v>
      </c>
      <c r="K1" s="23">
        <v>7</v>
      </c>
      <c r="L1" s="23">
        <v>8</v>
      </c>
      <c r="M1" s="23">
        <v>9</v>
      </c>
    </row>
    <row r="2" spans="1:13" x14ac:dyDescent="0.2">
      <c r="A2" s="12">
        <v>1</v>
      </c>
      <c r="B2" s="12" t="s">
        <v>1029</v>
      </c>
      <c r="C2" s="12">
        <v>2</v>
      </c>
      <c r="E2" s="23">
        <v>1</v>
      </c>
      <c r="F2" s="12" t="s">
        <v>941</v>
      </c>
      <c r="G2" s="12" t="s">
        <v>892</v>
      </c>
      <c r="H2" s="12" t="s">
        <v>876</v>
      </c>
      <c r="I2" s="12" t="s">
        <v>956</v>
      </c>
      <c r="J2" s="12" t="s">
        <v>918</v>
      </c>
      <c r="K2" s="12" t="s">
        <v>930</v>
      </c>
      <c r="L2" s="12" t="s">
        <v>880</v>
      </c>
      <c r="M2" s="12" t="s">
        <v>878</v>
      </c>
    </row>
    <row r="3" spans="1:13" x14ac:dyDescent="0.2">
      <c r="A3" s="12">
        <v>4</v>
      </c>
      <c r="B3" s="12" t="s">
        <v>892</v>
      </c>
      <c r="C3" s="12">
        <v>3</v>
      </c>
      <c r="E3" s="23">
        <v>2</v>
      </c>
      <c r="F3" s="12" t="s">
        <v>941</v>
      </c>
      <c r="G3" s="12" t="s">
        <v>892</v>
      </c>
      <c r="H3" s="12" t="s">
        <v>876</v>
      </c>
      <c r="I3" s="12" t="s">
        <v>956</v>
      </c>
      <c r="J3" s="12" t="s">
        <v>918</v>
      </c>
      <c r="K3" s="12" t="s">
        <v>930</v>
      </c>
      <c r="L3" s="12" t="s">
        <v>880</v>
      </c>
      <c r="M3" s="12" t="s">
        <v>878</v>
      </c>
    </row>
    <row r="4" spans="1:13" x14ac:dyDescent="0.2">
      <c r="A4" s="12">
        <v>9</v>
      </c>
      <c r="B4" s="12" t="s">
        <v>876</v>
      </c>
      <c r="C4" s="12">
        <v>4</v>
      </c>
      <c r="E4" s="23">
        <v>3</v>
      </c>
      <c r="F4" s="12" t="s">
        <v>941</v>
      </c>
      <c r="G4" s="12" t="s">
        <v>892</v>
      </c>
      <c r="H4" s="12" t="s">
        <v>876</v>
      </c>
      <c r="I4" s="12" t="s">
        <v>956</v>
      </c>
      <c r="J4" s="12" t="s">
        <v>918</v>
      </c>
      <c r="K4" s="12" t="s">
        <v>930</v>
      </c>
      <c r="L4" s="12" t="s">
        <v>880</v>
      </c>
      <c r="M4" s="12" t="s">
        <v>878</v>
      </c>
    </row>
    <row r="5" spans="1:13" x14ac:dyDescent="0.2">
      <c r="A5" s="12">
        <v>22</v>
      </c>
      <c r="B5" s="12" t="s">
        <v>956</v>
      </c>
      <c r="C5" s="12">
        <v>5</v>
      </c>
      <c r="E5" s="23">
        <v>4</v>
      </c>
      <c r="F5" s="12" t="s">
        <v>941</v>
      </c>
      <c r="G5" s="12" t="s">
        <v>892</v>
      </c>
      <c r="H5" s="12" t="s">
        <v>876</v>
      </c>
      <c r="I5" s="12" t="s">
        <v>956</v>
      </c>
      <c r="J5" s="12" t="s">
        <v>918</v>
      </c>
      <c r="K5" s="12" t="s">
        <v>930</v>
      </c>
      <c r="L5" s="12" t="s">
        <v>880</v>
      </c>
      <c r="M5" s="12" t="s">
        <v>878</v>
      </c>
    </row>
    <row r="6" spans="1:13" x14ac:dyDescent="0.2">
      <c r="A6" s="12">
        <v>26</v>
      </c>
      <c r="B6" s="12" t="s">
        <v>917</v>
      </c>
      <c r="C6" s="12">
        <v>6</v>
      </c>
      <c r="E6" s="23">
        <v>5</v>
      </c>
      <c r="F6" s="12" t="s">
        <v>941</v>
      </c>
      <c r="G6" s="12" t="s">
        <v>892</v>
      </c>
      <c r="H6" s="12" t="s">
        <v>876</v>
      </c>
      <c r="I6" s="12" t="s">
        <v>956</v>
      </c>
      <c r="J6" s="12" t="s">
        <v>918</v>
      </c>
      <c r="K6" s="12" t="s">
        <v>930</v>
      </c>
      <c r="L6" s="12" t="s">
        <v>880</v>
      </c>
      <c r="M6" s="12" t="s">
        <v>878</v>
      </c>
    </row>
    <row r="7" spans="1:13" x14ac:dyDescent="0.2">
      <c r="A7" s="12">
        <v>40</v>
      </c>
      <c r="B7" s="12" t="s">
        <v>3941</v>
      </c>
      <c r="C7" s="12">
        <v>7</v>
      </c>
      <c r="E7" s="23">
        <v>6</v>
      </c>
      <c r="F7" s="12" t="s">
        <v>941</v>
      </c>
      <c r="G7" s="12" t="s">
        <v>892</v>
      </c>
      <c r="H7" s="12" t="s">
        <v>876</v>
      </c>
      <c r="I7" s="12" t="s">
        <v>956</v>
      </c>
      <c r="J7" s="12" t="s">
        <v>918</v>
      </c>
      <c r="K7" s="12" t="s">
        <v>177</v>
      </c>
      <c r="L7" s="12" t="s">
        <v>880</v>
      </c>
      <c r="M7" s="12" t="s">
        <v>878</v>
      </c>
    </row>
    <row r="8" spans="1:13" x14ac:dyDescent="0.2">
      <c r="A8" s="12">
        <v>66</v>
      </c>
      <c r="B8" s="12" t="s">
        <v>880</v>
      </c>
      <c r="C8" s="12">
        <v>8</v>
      </c>
      <c r="E8" s="23">
        <v>7</v>
      </c>
      <c r="F8" s="12" t="s">
        <v>941</v>
      </c>
      <c r="G8" s="12" t="s">
        <v>892</v>
      </c>
      <c r="H8" s="12" t="s">
        <v>876</v>
      </c>
      <c r="I8" s="12" t="s">
        <v>956</v>
      </c>
      <c r="J8" s="12" t="s">
        <v>918</v>
      </c>
      <c r="K8" s="12" t="s">
        <v>177</v>
      </c>
      <c r="L8" s="12" t="s">
        <v>880</v>
      </c>
      <c r="M8" s="12" t="s">
        <v>878</v>
      </c>
    </row>
    <row r="9" spans="1:13" x14ac:dyDescent="0.2">
      <c r="A9" s="12">
        <v>67</v>
      </c>
      <c r="B9" s="12" t="s">
        <v>3941</v>
      </c>
      <c r="C9" s="12">
        <v>7</v>
      </c>
      <c r="E9" s="23">
        <v>8</v>
      </c>
      <c r="F9" s="12" t="s">
        <v>941</v>
      </c>
      <c r="G9" s="12" t="s">
        <v>892</v>
      </c>
      <c r="H9" s="12" t="s">
        <v>876</v>
      </c>
      <c r="I9" s="12" t="s">
        <v>956</v>
      </c>
      <c r="J9" s="12" t="s">
        <v>918</v>
      </c>
      <c r="K9" s="12" t="s">
        <v>177</v>
      </c>
      <c r="L9" s="12" t="s">
        <v>880</v>
      </c>
      <c r="M9" s="12" t="s">
        <v>878</v>
      </c>
    </row>
    <row r="10" spans="1:13" x14ac:dyDescent="0.2">
      <c r="A10" s="12">
        <v>90</v>
      </c>
      <c r="B10" s="12" t="s">
        <v>3942</v>
      </c>
      <c r="C10" s="12">
        <v>9</v>
      </c>
      <c r="E10" s="23">
        <v>9</v>
      </c>
      <c r="F10" s="12" t="s">
        <v>941</v>
      </c>
      <c r="G10" s="12" t="s">
        <v>892</v>
      </c>
      <c r="H10" s="12" t="s">
        <v>876</v>
      </c>
      <c r="I10" s="12" t="s">
        <v>956</v>
      </c>
      <c r="J10" s="12" t="s">
        <v>918</v>
      </c>
      <c r="K10" s="12" t="s">
        <v>177</v>
      </c>
      <c r="L10" s="12" t="s">
        <v>880</v>
      </c>
      <c r="M10" s="12" t="s">
        <v>878</v>
      </c>
    </row>
    <row r="11" spans="1:13" x14ac:dyDescent="0.2">
      <c r="E11" s="23">
        <v>10</v>
      </c>
      <c r="F11" s="12" t="s">
        <v>941</v>
      </c>
      <c r="G11" s="12" t="s">
        <v>892</v>
      </c>
      <c r="H11" s="12" t="s">
        <v>876</v>
      </c>
      <c r="I11" s="12" t="s">
        <v>956</v>
      </c>
      <c r="J11" s="12" t="s">
        <v>924</v>
      </c>
      <c r="K11" s="12" t="s">
        <v>177</v>
      </c>
      <c r="L11" s="12" t="s">
        <v>880</v>
      </c>
      <c r="M11" s="12" t="s">
        <v>878</v>
      </c>
    </row>
    <row r="12" spans="1:13" x14ac:dyDescent="0.2">
      <c r="E12" s="23">
        <v>11</v>
      </c>
      <c r="F12" s="12" t="s">
        <v>941</v>
      </c>
      <c r="G12" s="12" t="s">
        <v>892</v>
      </c>
      <c r="H12" s="12" t="s">
        <v>876</v>
      </c>
      <c r="I12" s="12" t="s">
        <v>956</v>
      </c>
      <c r="J12" s="12" t="s">
        <v>924</v>
      </c>
      <c r="K12" s="12" t="s">
        <v>937</v>
      </c>
      <c r="L12" s="12" t="s">
        <v>880</v>
      </c>
      <c r="M12" s="12" t="s">
        <v>878</v>
      </c>
    </row>
    <row r="13" spans="1:13" x14ac:dyDescent="0.2">
      <c r="A13" s="12" t="s">
        <v>3943</v>
      </c>
      <c r="C13" s="12" t="e">
        <f>VLOOKUP(Stats!M1,B2:C10,2,0)</f>
        <v>#N/A</v>
      </c>
      <c r="E13" s="23">
        <v>12</v>
      </c>
      <c r="F13" s="12" t="s">
        <v>941</v>
      </c>
      <c r="G13" s="12" t="s">
        <v>892</v>
      </c>
      <c r="H13" s="12" t="s">
        <v>876</v>
      </c>
      <c r="I13" s="12" t="s">
        <v>956</v>
      </c>
      <c r="J13" s="12" t="s">
        <v>924</v>
      </c>
      <c r="K13" s="12" t="s">
        <v>937</v>
      </c>
      <c r="L13" s="12" t="s">
        <v>880</v>
      </c>
      <c r="M13" s="12" t="s">
        <v>878</v>
      </c>
    </row>
    <row r="14" spans="1:13" x14ac:dyDescent="0.2">
      <c r="E14" s="23">
        <v>13</v>
      </c>
      <c r="F14" s="12" t="s">
        <v>941</v>
      </c>
      <c r="G14" s="12" t="s">
        <v>892</v>
      </c>
      <c r="H14" s="12" t="s">
        <v>876</v>
      </c>
      <c r="I14" s="12" t="s">
        <v>956</v>
      </c>
      <c r="J14" s="12" t="s">
        <v>924</v>
      </c>
      <c r="K14" s="12" t="s">
        <v>937</v>
      </c>
      <c r="L14" s="12" t="s">
        <v>880</v>
      </c>
      <c r="M14" s="12" t="s">
        <v>878</v>
      </c>
    </row>
    <row r="15" spans="1:13" x14ac:dyDescent="0.2">
      <c r="E15" s="23">
        <v>14</v>
      </c>
      <c r="F15" s="12" t="s">
        <v>941</v>
      </c>
      <c r="G15" s="12" t="s">
        <v>892</v>
      </c>
      <c r="H15" s="12" t="s">
        <v>876</v>
      </c>
      <c r="I15" s="12" t="s">
        <v>956</v>
      </c>
      <c r="J15" s="12" t="s">
        <v>924</v>
      </c>
      <c r="K15" s="12" t="s">
        <v>937</v>
      </c>
      <c r="L15" s="12" t="s">
        <v>880</v>
      </c>
      <c r="M15" s="12" t="s">
        <v>878</v>
      </c>
    </row>
    <row r="16" spans="1:13" x14ac:dyDescent="0.2">
      <c r="E16" s="23">
        <v>15</v>
      </c>
      <c r="F16" s="12" t="s">
        <v>941</v>
      </c>
      <c r="G16" s="12" t="s">
        <v>892</v>
      </c>
      <c r="H16" s="12" t="s">
        <v>876</v>
      </c>
      <c r="I16" s="12" t="s">
        <v>956</v>
      </c>
      <c r="J16" s="12" t="s">
        <v>924</v>
      </c>
      <c r="K16" s="12" t="s">
        <v>937</v>
      </c>
      <c r="L16" s="12" t="s">
        <v>880</v>
      </c>
      <c r="M16" s="12" t="s">
        <v>878</v>
      </c>
    </row>
    <row r="17" spans="1:13" x14ac:dyDescent="0.2">
      <c r="E17" s="23">
        <v>16</v>
      </c>
      <c r="F17" s="12" t="s">
        <v>941</v>
      </c>
      <c r="G17" s="12" t="s">
        <v>892</v>
      </c>
      <c r="H17" s="12" t="s">
        <v>876</v>
      </c>
      <c r="I17" s="12" t="s">
        <v>956</v>
      </c>
      <c r="J17" s="12" t="s">
        <v>924</v>
      </c>
      <c r="K17" s="12" t="s">
        <v>937</v>
      </c>
      <c r="L17" s="12" t="s">
        <v>880</v>
      </c>
      <c r="M17" s="12" t="s">
        <v>878</v>
      </c>
    </row>
    <row r="18" spans="1:13" x14ac:dyDescent="0.2">
      <c r="E18" s="23">
        <v>17</v>
      </c>
      <c r="F18" s="12" t="s">
        <v>941</v>
      </c>
      <c r="G18" s="12" t="s">
        <v>892</v>
      </c>
      <c r="H18" s="12" t="s">
        <v>876</v>
      </c>
      <c r="I18" s="12" t="s">
        <v>956</v>
      </c>
      <c r="J18" s="12" t="s">
        <v>924</v>
      </c>
      <c r="K18" s="12" t="s">
        <v>937</v>
      </c>
      <c r="L18" s="12" t="s">
        <v>880</v>
      </c>
      <c r="M18" s="12" t="s">
        <v>878</v>
      </c>
    </row>
    <row r="19" spans="1:13" x14ac:dyDescent="0.2">
      <c r="E19" s="23">
        <v>18</v>
      </c>
      <c r="F19" s="12" t="s">
        <v>941</v>
      </c>
      <c r="G19" s="12" t="s">
        <v>892</v>
      </c>
      <c r="H19" s="12" t="s">
        <v>876</v>
      </c>
      <c r="I19" s="12" t="s">
        <v>956</v>
      </c>
      <c r="J19" s="12" t="s">
        <v>924</v>
      </c>
      <c r="K19" s="12" t="s">
        <v>931</v>
      </c>
      <c r="L19" s="12" t="s">
        <v>880</v>
      </c>
      <c r="M19" s="12" t="s">
        <v>878</v>
      </c>
    </row>
    <row r="20" spans="1:13" x14ac:dyDescent="0.2">
      <c r="A20" s="20"/>
      <c r="B20" s="20"/>
      <c r="E20" s="23">
        <v>19</v>
      </c>
      <c r="F20" s="12" t="s">
        <v>941</v>
      </c>
      <c r="G20" s="12" t="s">
        <v>892</v>
      </c>
      <c r="H20" s="12" t="s">
        <v>876</v>
      </c>
      <c r="I20" s="12" t="s">
        <v>956</v>
      </c>
      <c r="J20" s="12" t="s">
        <v>924</v>
      </c>
      <c r="K20" s="12" t="s">
        <v>931</v>
      </c>
      <c r="L20" s="12" t="s">
        <v>880</v>
      </c>
      <c r="M20" s="12" t="s">
        <v>878</v>
      </c>
    </row>
    <row r="21" spans="1:13" x14ac:dyDescent="0.2">
      <c r="E21" s="23">
        <v>20</v>
      </c>
      <c r="F21" s="12" t="s">
        <v>941</v>
      </c>
      <c r="G21" s="12" t="s">
        <v>892</v>
      </c>
      <c r="H21" s="12" t="s">
        <v>876</v>
      </c>
      <c r="I21" s="12" t="s">
        <v>956</v>
      </c>
      <c r="J21" s="12" t="s">
        <v>923</v>
      </c>
      <c r="K21" s="12" t="s">
        <v>931</v>
      </c>
      <c r="L21" s="12" t="s">
        <v>880</v>
      </c>
      <c r="M21" s="12" t="s">
        <v>878</v>
      </c>
    </row>
    <row r="22" spans="1:13" x14ac:dyDescent="0.2">
      <c r="E22" s="23">
        <v>21</v>
      </c>
      <c r="F22" s="12" t="s">
        <v>941</v>
      </c>
      <c r="G22" s="12" t="s">
        <v>892</v>
      </c>
      <c r="H22" s="12" t="s">
        <v>876</v>
      </c>
      <c r="I22" s="12" t="s">
        <v>956</v>
      </c>
      <c r="J22" s="12" t="s">
        <v>923</v>
      </c>
      <c r="K22" s="12" t="s">
        <v>931</v>
      </c>
      <c r="L22" s="12" t="s">
        <v>880</v>
      </c>
      <c r="M22" s="12" t="s">
        <v>878</v>
      </c>
    </row>
    <row r="23" spans="1:13" x14ac:dyDescent="0.2">
      <c r="E23" s="23">
        <v>22</v>
      </c>
      <c r="F23" s="12" t="s">
        <v>941</v>
      </c>
      <c r="G23" s="12" t="s">
        <v>892</v>
      </c>
      <c r="H23" s="12" t="s">
        <v>876</v>
      </c>
      <c r="I23" s="12" t="s">
        <v>956</v>
      </c>
      <c r="J23" s="12" t="s">
        <v>923</v>
      </c>
      <c r="K23" s="12" t="s">
        <v>887</v>
      </c>
      <c r="L23" s="12" t="s">
        <v>880</v>
      </c>
      <c r="M23" s="12" t="s">
        <v>878</v>
      </c>
    </row>
    <row r="24" spans="1:13" x14ac:dyDescent="0.2">
      <c r="E24" s="23">
        <v>23</v>
      </c>
      <c r="F24" s="12" t="s">
        <v>941</v>
      </c>
      <c r="G24" s="12" t="s">
        <v>892</v>
      </c>
      <c r="H24" s="12" t="s">
        <v>876</v>
      </c>
      <c r="I24" s="12" t="s">
        <v>956</v>
      </c>
      <c r="J24" s="12" t="s">
        <v>923</v>
      </c>
      <c r="K24" s="12" t="s">
        <v>945</v>
      </c>
      <c r="L24" s="12" t="s">
        <v>880</v>
      </c>
      <c r="M24" s="12" t="s">
        <v>878</v>
      </c>
    </row>
    <row r="25" spans="1:13" x14ac:dyDescent="0.2">
      <c r="E25" s="23">
        <v>24</v>
      </c>
      <c r="F25" s="12" t="s">
        <v>941</v>
      </c>
      <c r="G25" s="12" t="s">
        <v>892</v>
      </c>
      <c r="H25" s="12" t="s">
        <v>876</v>
      </c>
      <c r="I25" s="12" t="s">
        <v>956</v>
      </c>
      <c r="J25" s="12" t="s">
        <v>923</v>
      </c>
      <c r="K25" s="12" t="s">
        <v>944</v>
      </c>
      <c r="L25" s="12" t="s">
        <v>880</v>
      </c>
      <c r="M25" s="12" t="s">
        <v>878</v>
      </c>
    </row>
    <row r="26" spans="1:13" x14ac:dyDescent="0.2">
      <c r="E26" s="23">
        <v>25</v>
      </c>
      <c r="F26" s="12" t="s">
        <v>941</v>
      </c>
      <c r="G26" s="12" t="s">
        <v>892</v>
      </c>
      <c r="H26" s="12" t="s">
        <v>876</v>
      </c>
      <c r="I26" s="12" t="s">
        <v>956</v>
      </c>
      <c r="J26" s="12" t="s">
        <v>923</v>
      </c>
      <c r="K26" s="12" t="s">
        <v>946</v>
      </c>
      <c r="L26" s="12" t="s">
        <v>880</v>
      </c>
      <c r="M26" s="12" t="s">
        <v>878</v>
      </c>
    </row>
    <row r="27" spans="1:13" x14ac:dyDescent="0.2">
      <c r="E27" s="23">
        <v>26</v>
      </c>
      <c r="F27" s="12" t="s">
        <v>941</v>
      </c>
      <c r="G27" s="12" t="s">
        <v>892</v>
      </c>
      <c r="H27" s="12" t="s">
        <v>876</v>
      </c>
      <c r="I27" s="12" t="s">
        <v>956</v>
      </c>
      <c r="J27" s="12" t="s">
        <v>923</v>
      </c>
      <c r="K27" s="12" t="s">
        <v>919</v>
      </c>
      <c r="L27" s="12" t="s">
        <v>880</v>
      </c>
      <c r="M27" s="12" t="s">
        <v>878</v>
      </c>
    </row>
    <row r="28" spans="1:13" x14ac:dyDescent="0.2">
      <c r="E28" s="23">
        <v>27</v>
      </c>
      <c r="F28" s="12" t="s">
        <v>941</v>
      </c>
      <c r="G28" s="12" t="s">
        <v>892</v>
      </c>
      <c r="H28" s="12" t="s">
        <v>876</v>
      </c>
      <c r="I28" s="12" t="s">
        <v>956</v>
      </c>
      <c r="J28" s="12" t="s">
        <v>923</v>
      </c>
      <c r="K28" s="12" t="s">
        <v>919</v>
      </c>
      <c r="L28" s="12" t="s">
        <v>880</v>
      </c>
      <c r="M28" s="12" t="s">
        <v>878</v>
      </c>
    </row>
    <row r="29" spans="1:13" x14ac:dyDescent="0.2">
      <c r="A29" s="20" t="s">
        <v>3944</v>
      </c>
      <c r="E29" s="23">
        <v>28</v>
      </c>
      <c r="F29" s="12" t="s">
        <v>941</v>
      </c>
      <c r="G29" s="12" t="s">
        <v>892</v>
      </c>
      <c r="H29" s="12" t="s">
        <v>876</v>
      </c>
      <c r="I29" s="12" t="s">
        <v>956</v>
      </c>
      <c r="J29" s="12" t="s">
        <v>923</v>
      </c>
      <c r="K29" s="12" t="s">
        <v>919</v>
      </c>
      <c r="L29" s="12" t="s">
        <v>880</v>
      </c>
      <c r="M29" s="12" t="s">
        <v>878</v>
      </c>
    </row>
    <row r="30" spans="1:13" x14ac:dyDescent="0.2">
      <c r="A30" s="12" t="s">
        <v>1005</v>
      </c>
      <c r="B30" s="12" t="s">
        <v>965</v>
      </c>
      <c r="E30" s="23">
        <v>29</v>
      </c>
      <c r="F30" s="12" t="s">
        <v>941</v>
      </c>
      <c r="G30" s="12" t="s">
        <v>892</v>
      </c>
      <c r="H30" s="12" t="s">
        <v>876</v>
      </c>
      <c r="I30" s="12" t="s">
        <v>956</v>
      </c>
      <c r="J30" s="12" t="s">
        <v>923</v>
      </c>
      <c r="K30" s="12" t="s">
        <v>921</v>
      </c>
      <c r="L30" s="12" t="s">
        <v>880</v>
      </c>
      <c r="M30" s="12" t="s">
        <v>878</v>
      </c>
    </row>
    <row r="31" spans="1:13" x14ac:dyDescent="0.2">
      <c r="E31" s="23">
        <v>30</v>
      </c>
      <c r="F31" s="12" t="s">
        <v>941</v>
      </c>
      <c r="G31" s="12" t="s">
        <v>892</v>
      </c>
      <c r="H31" s="12" t="s">
        <v>876</v>
      </c>
      <c r="I31" s="12" t="s">
        <v>956</v>
      </c>
      <c r="J31" s="12" t="s">
        <v>923</v>
      </c>
      <c r="K31" s="12" t="s">
        <v>921</v>
      </c>
      <c r="L31" s="12" t="s">
        <v>880</v>
      </c>
      <c r="M31" s="12" t="s">
        <v>878</v>
      </c>
    </row>
    <row r="32" spans="1:13" x14ac:dyDescent="0.2">
      <c r="E32" s="23">
        <v>31</v>
      </c>
      <c r="F32" s="12" t="s">
        <v>941</v>
      </c>
      <c r="G32" s="12" t="s">
        <v>892</v>
      </c>
      <c r="H32" s="12" t="s">
        <v>876</v>
      </c>
      <c r="I32" s="12" t="s">
        <v>956</v>
      </c>
      <c r="J32" s="12" t="s">
        <v>923</v>
      </c>
      <c r="K32" s="12" t="s">
        <v>921</v>
      </c>
      <c r="L32" s="12" t="s">
        <v>880</v>
      </c>
      <c r="M32" s="12" t="s">
        <v>878</v>
      </c>
    </row>
    <row r="33" spans="1:13" x14ac:dyDescent="0.2">
      <c r="E33" s="23">
        <v>32</v>
      </c>
      <c r="F33" s="12" t="s">
        <v>941</v>
      </c>
      <c r="G33" s="12" t="s">
        <v>892</v>
      </c>
      <c r="H33" s="12" t="s">
        <v>876</v>
      </c>
      <c r="I33" s="12" t="s">
        <v>956</v>
      </c>
      <c r="J33" s="12" t="s">
        <v>923</v>
      </c>
      <c r="K33" s="12" t="s">
        <v>921</v>
      </c>
      <c r="L33" s="12" t="s">
        <v>880</v>
      </c>
      <c r="M33" s="12" t="s">
        <v>878</v>
      </c>
    </row>
    <row r="34" spans="1:13" x14ac:dyDescent="0.2">
      <c r="A34" s="12" t="s">
        <v>1015</v>
      </c>
      <c r="B34" s="12" t="s">
        <v>889</v>
      </c>
      <c r="E34" s="23">
        <v>33</v>
      </c>
      <c r="F34" s="12" t="s">
        <v>941</v>
      </c>
      <c r="G34" s="12" t="s">
        <v>892</v>
      </c>
      <c r="H34" s="12" t="s">
        <v>876</v>
      </c>
      <c r="I34" s="12" t="s">
        <v>956</v>
      </c>
      <c r="J34" s="12" t="s">
        <v>923</v>
      </c>
      <c r="K34" s="12" t="s">
        <v>921</v>
      </c>
      <c r="L34" s="12" t="s">
        <v>880</v>
      </c>
      <c r="M34" s="12" t="s">
        <v>878</v>
      </c>
    </row>
    <row r="35" spans="1:13" x14ac:dyDescent="0.2">
      <c r="A35" s="12" t="s">
        <v>1015</v>
      </c>
      <c r="B35" s="12" t="s">
        <v>1016</v>
      </c>
      <c r="E35" s="23">
        <v>34</v>
      </c>
      <c r="F35" s="12" t="s">
        <v>941</v>
      </c>
      <c r="G35" s="12" t="s">
        <v>892</v>
      </c>
      <c r="H35" s="12" t="s">
        <v>876</v>
      </c>
      <c r="I35" s="12" t="s">
        <v>956</v>
      </c>
      <c r="J35" s="12" t="s">
        <v>923</v>
      </c>
      <c r="K35" s="12" t="s">
        <v>921</v>
      </c>
      <c r="L35" s="12" t="s">
        <v>880</v>
      </c>
      <c r="M35" s="12" t="s">
        <v>878</v>
      </c>
    </row>
    <row r="36" spans="1:13" x14ac:dyDescent="0.2">
      <c r="E36" s="23">
        <v>35</v>
      </c>
      <c r="F36" s="12" t="s">
        <v>941</v>
      </c>
      <c r="G36" s="12" t="s">
        <v>892</v>
      </c>
      <c r="H36" s="12" t="s">
        <v>876</v>
      </c>
      <c r="I36" s="12" t="s">
        <v>956</v>
      </c>
      <c r="J36" s="12" t="s">
        <v>1032</v>
      </c>
      <c r="K36" s="12" t="s">
        <v>921</v>
      </c>
      <c r="L36" s="12" t="s">
        <v>880</v>
      </c>
      <c r="M36" s="12" t="s">
        <v>878</v>
      </c>
    </row>
    <row r="37" spans="1:13" x14ac:dyDescent="0.2">
      <c r="A37" s="12" t="s">
        <v>1015</v>
      </c>
      <c r="B37" s="12" t="s">
        <v>891</v>
      </c>
      <c r="E37" s="23">
        <v>36</v>
      </c>
      <c r="F37" s="12" t="s">
        <v>941</v>
      </c>
      <c r="G37" s="12" t="s">
        <v>892</v>
      </c>
      <c r="H37" s="12" t="s">
        <v>876</v>
      </c>
      <c r="I37" s="12" t="s">
        <v>956</v>
      </c>
      <c r="J37" s="12" t="s">
        <v>1032</v>
      </c>
      <c r="K37" s="12" t="s">
        <v>921</v>
      </c>
      <c r="L37" s="12" t="s">
        <v>880</v>
      </c>
      <c r="M37" s="12" t="s">
        <v>878</v>
      </c>
    </row>
    <row r="38" spans="1:13" x14ac:dyDescent="0.2">
      <c r="E38" s="23">
        <v>37</v>
      </c>
      <c r="F38" s="12" t="s">
        <v>941</v>
      </c>
      <c r="G38" s="12" t="s">
        <v>892</v>
      </c>
      <c r="H38" s="12" t="s">
        <v>876</v>
      </c>
      <c r="I38" s="12" t="s">
        <v>956</v>
      </c>
      <c r="J38" s="12" t="s">
        <v>1032</v>
      </c>
      <c r="K38" s="12" t="s">
        <v>921</v>
      </c>
      <c r="L38" s="12" t="s">
        <v>880</v>
      </c>
      <c r="M38" s="12" t="s">
        <v>878</v>
      </c>
    </row>
    <row r="39" spans="1:13" x14ac:dyDescent="0.2">
      <c r="E39" s="23">
        <v>38</v>
      </c>
      <c r="F39" s="12" t="s">
        <v>941</v>
      </c>
      <c r="G39" s="12" t="s">
        <v>892</v>
      </c>
      <c r="H39" s="12" t="s">
        <v>876</v>
      </c>
      <c r="I39" s="12" t="s">
        <v>956</v>
      </c>
      <c r="J39" s="12" t="s">
        <v>1032</v>
      </c>
      <c r="K39" s="12" t="s">
        <v>921</v>
      </c>
      <c r="L39" s="12" t="s">
        <v>880</v>
      </c>
      <c r="M39" s="12" t="s">
        <v>878</v>
      </c>
    </row>
    <row r="40" spans="1:13" x14ac:dyDescent="0.2">
      <c r="E40" s="23">
        <v>39</v>
      </c>
      <c r="F40" s="12" t="s">
        <v>941</v>
      </c>
      <c r="G40" s="12" t="s">
        <v>892</v>
      </c>
      <c r="H40" s="12" t="s">
        <v>876</v>
      </c>
      <c r="I40" s="12" t="s">
        <v>956</v>
      </c>
      <c r="J40" s="12" t="s">
        <v>1032</v>
      </c>
      <c r="K40" s="12" t="s">
        <v>921</v>
      </c>
      <c r="L40" s="12" t="s">
        <v>880</v>
      </c>
      <c r="M40" s="12" t="s">
        <v>878</v>
      </c>
    </row>
    <row r="41" spans="1:13" x14ac:dyDescent="0.2">
      <c r="E41" s="23">
        <v>40</v>
      </c>
      <c r="F41" s="12" t="s">
        <v>941</v>
      </c>
      <c r="G41" s="12" t="s">
        <v>892</v>
      </c>
      <c r="H41" s="12" t="s">
        <v>876</v>
      </c>
      <c r="I41" s="12" t="s">
        <v>956</v>
      </c>
      <c r="J41" s="12" t="s">
        <v>1032</v>
      </c>
      <c r="K41" s="12" t="s">
        <v>921</v>
      </c>
      <c r="L41" s="12" t="s">
        <v>880</v>
      </c>
      <c r="M41" s="12" t="s">
        <v>878</v>
      </c>
    </row>
    <row r="42" spans="1:13" x14ac:dyDescent="0.2">
      <c r="A42" s="12" t="s">
        <v>881</v>
      </c>
      <c r="B42" s="12" t="s">
        <v>966</v>
      </c>
      <c r="E42" s="23">
        <v>41</v>
      </c>
      <c r="F42" s="12" t="s">
        <v>941</v>
      </c>
      <c r="G42" s="12" t="s">
        <v>892</v>
      </c>
      <c r="H42" s="12" t="s">
        <v>876</v>
      </c>
      <c r="I42" s="12" t="s">
        <v>956</v>
      </c>
      <c r="J42" s="12" t="s">
        <v>1032</v>
      </c>
      <c r="K42" s="12" t="s">
        <v>921</v>
      </c>
      <c r="L42" s="12" t="s">
        <v>880</v>
      </c>
      <c r="M42" s="12" t="s">
        <v>879</v>
      </c>
    </row>
    <row r="43" spans="1:13" x14ac:dyDescent="0.2">
      <c r="E43" s="23">
        <v>42</v>
      </c>
      <c r="F43" s="12" t="s">
        <v>941</v>
      </c>
      <c r="G43" s="12" t="s">
        <v>892</v>
      </c>
      <c r="H43" s="12" t="s">
        <v>876</v>
      </c>
      <c r="I43" s="12" t="s">
        <v>956</v>
      </c>
      <c r="J43" s="12" t="s">
        <v>1032</v>
      </c>
      <c r="K43" s="12" t="s">
        <v>921</v>
      </c>
      <c r="L43" s="12" t="s">
        <v>880</v>
      </c>
      <c r="M43" s="12" t="s">
        <v>879</v>
      </c>
    </row>
    <row r="44" spans="1:13" x14ac:dyDescent="0.2">
      <c r="E44" s="23">
        <v>43</v>
      </c>
      <c r="F44" s="12" t="s">
        <v>941</v>
      </c>
      <c r="G44" s="12" t="s">
        <v>892</v>
      </c>
      <c r="H44" s="12" t="s">
        <v>876</v>
      </c>
      <c r="I44" s="12" t="s">
        <v>956</v>
      </c>
      <c r="J44" s="12" t="s">
        <v>1032</v>
      </c>
      <c r="K44" s="12" t="s">
        <v>920</v>
      </c>
      <c r="L44" s="12" t="s">
        <v>880</v>
      </c>
      <c r="M44" s="12" t="s">
        <v>879</v>
      </c>
    </row>
    <row r="45" spans="1:13" x14ac:dyDescent="0.2">
      <c r="E45" s="23">
        <v>44</v>
      </c>
      <c r="F45" s="12" t="s">
        <v>941</v>
      </c>
      <c r="G45" s="12" t="s">
        <v>892</v>
      </c>
      <c r="H45" s="12" t="s">
        <v>876</v>
      </c>
      <c r="I45" s="12" t="s">
        <v>956</v>
      </c>
      <c r="J45" s="12" t="s">
        <v>1032</v>
      </c>
      <c r="K45" s="12" t="s">
        <v>920</v>
      </c>
      <c r="L45" s="12" t="s">
        <v>880</v>
      </c>
      <c r="M45" s="12" t="s">
        <v>879</v>
      </c>
    </row>
    <row r="46" spans="1:13" x14ac:dyDescent="0.2">
      <c r="E46" s="23">
        <v>45</v>
      </c>
      <c r="F46" s="12" t="s">
        <v>941</v>
      </c>
      <c r="G46" s="12" t="s">
        <v>892</v>
      </c>
      <c r="H46" s="12" t="s">
        <v>876</v>
      </c>
      <c r="I46" s="12" t="s">
        <v>956</v>
      </c>
      <c r="J46" s="12" t="s">
        <v>929</v>
      </c>
      <c r="K46" s="12" t="s">
        <v>920</v>
      </c>
      <c r="L46" s="12" t="s">
        <v>880</v>
      </c>
      <c r="M46" s="12" t="s">
        <v>879</v>
      </c>
    </row>
    <row r="47" spans="1:13" x14ac:dyDescent="0.2">
      <c r="E47" s="23">
        <v>46</v>
      </c>
      <c r="F47" s="12" t="s">
        <v>941</v>
      </c>
      <c r="G47" s="12" t="s">
        <v>892</v>
      </c>
      <c r="H47" s="12" t="s">
        <v>876</v>
      </c>
      <c r="I47" s="12" t="s">
        <v>956</v>
      </c>
      <c r="J47" s="12" t="s">
        <v>929</v>
      </c>
      <c r="K47" s="12" t="s">
        <v>922</v>
      </c>
      <c r="L47" s="12" t="s">
        <v>880</v>
      </c>
      <c r="M47" s="12" t="s">
        <v>879</v>
      </c>
    </row>
    <row r="48" spans="1:13" x14ac:dyDescent="0.2">
      <c r="E48" s="23">
        <v>47</v>
      </c>
      <c r="F48" s="12" t="s">
        <v>941</v>
      </c>
      <c r="G48" s="12" t="s">
        <v>892</v>
      </c>
      <c r="H48" s="12" t="s">
        <v>876</v>
      </c>
      <c r="I48" s="12" t="s">
        <v>956</v>
      </c>
      <c r="J48" s="12" t="s">
        <v>929</v>
      </c>
      <c r="K48" s="12" t="s">
        <v>922</v>
      </c>
      <c r="L48" s="12" t="s">
        <v>880</v>
      </c>
      <c r="M48" s="12" t="s">
        <v>879</v>
      </c>
    </row>
    <row r="49" spans="5:13" x14ac:dyDescent="0.2">
      <c r="E49" s="23">
        <v>48</v>
      </c>
      <c r="F49" s="12" t="s">
        <v>941</v>
      </c>
      <c r="G49" s="12" t="s">
        <v>892</v>
      </c>
      <c r="H49" s="12" t="s">
        <v>876</v>
      </c>
      <c r="I49" s="12" t="s">
        <v>956</v>
      </c>
      <c r="J49" s="12" t="s">
        <v>929</v>
      </c>
      <c r="K49" s="12" t="s">
        <v>922</v>
      </c>
      <c r="L49" s="12" t="s">
        <v>880</v>
      </c>
      <c r="M49" s="12" t="s">
        <v>879</v>
      </c>
    </row>
    <row r="50" spans="5:13" x14ac:dyDescent="0.2">
      <c r="E50" s="23">
        <v>49</v>
      </c>
      <c r="F50" s="12" t="s">
        <v>941</v>
      </c>
      <c r="G50" s="12" t="s">
        <v>892</v>
      </c>
      <c r="H50" s="12" t="s">
        <v>876</v>
      </c>
      <c r="I50" s="12" t="s">
        <v>956</v>
      </c>
      <c r="J50" s="12" t="s">
        <v>929</v>
      </c>
      <c r="K50" s="12" t="s">
        <v>922</v>
      </c>
      <c r="L50" s="12" t="s">
        <v>880</v>
      </c>
      <c r="M50" s="12" t="s">
        <v>879</v>
      </c>
    </row>
    <row r="51" spans="5:13" x14ac:dyDescent="0.2">
      <c r="E51" s="23">
        <v>50</v>
      </c>
      <c r="F51" s="12" t="s">
        <v>941</v>
      </c>
      <c r="G51" s="12" t="s">
        <v>892</v>
      </c>
      <c r="H51" s="12" t="s">
        <v>876</v>
      </c>
      <c r="I51" s="12" t="s">
        <v>956</v>
      </c>
      <c r="J51" s="12" t="s">
        <v>929</v>
      </c>
      <c r="K51" s="12" t="s">
        <v>922</v>
      </c>
      <c r="L51" s="12" t="s">
        <v>880</v>
      </c>
      <c r="M51" s="12" t="s">
        <v>879</v>
      </c>
    </row>
    <row r="52" spans="5:13" x14ac:dyDescent="0.2">
      <c r="E52" s="23">
        <v>51</v>
      </c>
      <c r="F52" s="12" t="s">
        <v>942</v>
      </c>
      <c r="G52" s="12" t="s">
        <v>892</v>
      </c>
      <c r="H52" s="12" t="s">
        <v>876</v>
      </c>
      <c r="I52" s="12" t="s">
        <v>956</v>
      </c>
      <c r="J52" s="12" t="s">
        <v>929</v>
      </c>
      <c r="K52" s="12" t="s">
        <v>922</v>
      </c>
      <c r="L52" s="12" t="s">
        <v>880</v>
      </c>
      <c r="M52" s="12" t="s">
        <v>879</v>
      </c>
    </row>
    <row r="53" spans="5:13" x14ac:dyDescent="0.2">
      <c r="E53" s="23">
        <v>52</v>
      </c>
      <c r="F53" s="12" t="s">
        <v>942</v>
      </c>
      <c r="G53" s="12" t="s">
        <v>892</v>
      </c>
      <c r="H53" s="12" t="s">
        <v>876</v>
      </c>
      <c r="I53" s="12" t="s">
        <v>956</v>
      </c>
      <c r="J53" s="12" t="s">
        <v>929</v>
      </c>
      <c r="K53" s="12" t="s">
        <v>922</v>
      </c>
      <c r="L53" s="12" t="s">
        <v>880</v>
      </c>
      <c r="M53" s="12" t="s">
        <v>879</v>
      </c>
    </row>
    <row r="54" spans="5:13" x14ac:dyDescent="0.2">
      <c r="E54" s="23">
        <v>53</v>
      </c>
      <c r="F54" s="12" t="s">
        <v>942</v>
      </c>
      <c r="G54" s="12" t="s">
        <v>892</v>
      </c>
      <c r="H54" s="12" t="s">
        <v>876</v>
      </c>
      <c r="I54" s="12" t="s">
        <v>956</v>
      </c>
      <c r="J54" s="12" t="s">
        <v>929</v>
      </c>
      <c r="K54" s="12" t="s">
        <v>922</v>
      </c>
      <c r="L54" s="12" t="s">
        <v>880</v>
      </c>
      <c r="M54" s="12" t="s">
        <v>879</v>
      </c>
    </row>
    <row r="55" spans="5:13" x14ac:dyDescent="0.2">
      <c r="E55" s="23">
        <v>54</v>
      </c>
      <c r="F55" s="12" t="s">
        <v>942</v>
      </c>
      <c r="G55" s="12" t="s">
        <v>892</v>
      </c>
      <c r="H55" s="12" t="s">
        <v>876</v>
      </c>
      <c r="I55" s="12" t="s">
        <v>956</v>
      </c>
      <c r="J55" s="12" t="s">
        <v>929</v>
      </c>
      <c r="K55" s="12" t="s">
        <v>922</v>
      </c>
      <c r="L55" s="12" t="s">
        <v>880</v>
      </c>
      <c r="M55" s="12" t="s">
        <v>879</v>
      </c>
    </row>
    <row r="56" spans="5:13" x14ac:dyDescent="0.2">
      <c r="E56" s="23">
        <v>55</v>
      </c>
      <c r="F56" s="12" t="s">
        <v>942</v>
      </c>
      <c r="G56" s="12" t="s">
        <v>892</v>
      </c>
      <c r="H56" s="12" t="s">
        <v>876</v>
      </c>
      <c r="I56" s="12" t="s">
        <v>956</v>
      </c>
      <c r="J56" s="12" t="s">
        <v>890</v>
      </c>
      <c r="K56" s="12" t="s">
        <v>922</v>
      </c>
      <c r="L56" s="12" t="s">
        <v>880</v>
      </c>
      <c r="M56" s="12" t="s">
        <v>879</v>
      </c>
    </row>
    <row r="57" spans="5:13" x14ac:dyDescent="0.2">
      <c r="E57" s="23">
        <v>56</v>
      </c>
      <c r="F57" s="12" t="s">
        <v>942</v>
      </c>
      <c r="G57" s="12" t="s">
        <v>892</v>
      </c>
      <c r="H57" s="12" t="s">
        <v>876</v>
      </c>
      <c r="I57" s="12" t="s">
        <v>956</v>
      </c>
      <c r="J57" s="12" t="s">
        <v>890</v>
      </c>
      <c r="K57" s="12" t="s">
        <v>922</v>
      </c>
      <c r="L57" s="12" t="s">
        <v>880</v>
      </c>
      <c r="M57" s="12" t="s">
        <v>879</v>
      </c>
    </row>
    <row r="58" spans="5:13" x14ac:dyDescent="0.2">
      <c r="E58" s="23">
        <v>57</v>
      </c>
      <c r="F58" s="12" t="s">
        <v>942</v>
      </c>
      <c r="G58" s="12" t="s">
        <v>892</v>
      </c>
      <c r="H58" s="12" t="s">
        <v>876</v>
      </c>
      <c r="I58" s="12" t="s">
        <v>956</v>
      </c>
      <c r="J58" s="12" t="s">
        <v>890</v>
      </c>
      <c r="K58" s="12" t="s">
        <v>922</v>
      </c>
      <c r="L58" s="12" t="s">
        <v>880</v>
      </c>
      <c r="M58" s="12" t="s">
        <v>879</v>
      </c>
    </row>
    <row r="59" spans="5:13" x14ac:dyDescent="0.2">
      <c r="E59" s="23">
        <v>58</v>
      </c>
      <c r="F59" s="12" t="s">
        <v>942</v>
      </c>
      <c r="G59" s="12" t="s">
        <v>892</v>
      </c>
      <c r="H59" s="12" t="s">
        <v>876</v>
      </c>
      <c r="I59" s="12" t="s">
        <v>956</v>
      </c>
      <c r="J59" s="12" t="s">
        <v>890</v>
      </c>
      <c r="K59" s="12" t="s">
        <v>922</v>
      </c>
      <c r="L59" s="12" t="s">
        <v>880</v>
      </c>
      <c r="M59" s="12" t="s">
        <v>879</v>
      </c>
    </row>
    <row r="60" spans="5:13" x14ac:dyDescent="0.2">
      <c r="E60" s="23">
        <v>59</v>
      </c>
      <c r="F60" s="12" t="s">
        <v>942</v>
      </c>
      <c r="G60" s="12" t="s">
        <v>892</v>
      </c>
      <c r="H60" s="12" t="s">
        <v>876</v>
      </c>
      <c r="I60" s="12" t="s">
        <v>956</v>
      </c>
      <c r="J60" s="12" t="s">
        <v>928</v>
      </c>
      <c r="K60" s="12" t="s">
        <v>922</v>
      </c>
      <c r="L60" s="12" t="s">
        <v>880</v>
      </c>
      <c r="M60" s="12" t="s">
        <v>879</v>
      </c>
    </row>
    <row r="61" spans="5:13" x14ac:dyDescent="0.2">
      <c r="E61" s="23">
        <v>60</v>
      </c>
      <c r="F61" s="12" t="s">
        <v>942</v>
      </c>
      <c r="G61" s="12" t="s">
        <v>892</v>
      </c>
      <c r="H61" s="12" t="s">
        <v>876</v>
      </c>
      <c r="I61" s="12" t="s">
        <v>956</v>
      </c>
      <c r="J61" s="12" t="s">
        <v>928</v>
      </c>
      <c r="K61" s="12" t="s">
        <v>922</v>
      </c>
      <c r="L61" s="12" t="s">
        <v>880</v>
      </c>
      <c r="M61" s="12" t="s">
        <v>879</v>
      </c>
    </row>
    <row r="62" spans="5:13" x14ac:dyDescent="0.2">
      <c r="E62" s="23">
        <v>61</v>
      </c>
      <c r="F62" s="12" t="s">
        <v>942</v>
      </c>
      <c r="G62" s="12" t="s">
        <v>892</v>
      </c>
      <c r="H62" s="12" t="s">
        <v>876</v>
      </c>
      <c r="I62" s="12" t="s">
        <v>956</v>
      </c>
      <c r="J62" s="12" t="s">
        <v>928</v>
      </c>
      <c r="K62" s="12" t="s">
        <v>922</v>
      </c>
      <c r="L62" s="12" t="s">
        <v>880</v>
      </c>
      <c r="M62" s="12" t="s">
        <v>879</v>
      </c>
    </row>
    <row r="63" spans="5:13" x14ac:dyDescent="0.2">
      <c r="E63" s="23">
        <v>62</v>
      </c>
      <c r="F63" s="12" t="s">
        <v>942</v>
      </c>
      <c r="G63" s="12" t="s">
        <v>892</v>
      </c>
      <c r="H63" s="12" t="s">
        <v>876</v>
      </c>
      <c r="I63" s="12" t="s">
        <v>956</v>
      </c>
      <c r="J63" s="12" t="s">
        <v>928</v>
      </c>
      <c r="K63" s="12" t="s">
        <v>1006</v>
      </c>
      <c r="L63" s="12" t="s">
        <v>880</v>
      </c>
      <c r="M63" s="12" t="s">
        <v>879</v>
      </c>
    </row>
    <row r="64" spans="5:13" x14ac:dyDescent="0.2">
      <c r="E64" s="23">
        <v>63</v>
      </c>
      <c r="F64" s="12" t="s">
        <v>942</v>
      </c>
      <c r="G64" s="12" t="s">
        <v>892</v>
      </c>
      <c r="H64" s="12" t="s">
        <v>876</v>
      </c>
      <c r="I64" s="12" t="s">
        <v>956</v>
      </c>
      <c r="J64" s="12" t="s">
        <v>928</v>
      </c>
      <c r="K64" s="12" t="s">
        <v>1006</v>
      </c>
      <c r="L64" s="12" t="s">
        <v>880</v>
      </c>
      <c r="M64" s="12" t="s">
        <v>879</v>
      </c>
    </row>
    <row r="65" spans="1:13" x14ac:dyDescent="0.2">
      <c r="E65" s="23">
        <v>64</v>
      </c>
      <c r="F65" s="12" t="s">
        <v>942</v>
      </c>
      <c r="G65" s="12" t="s">
        <v>892</v>
      </c>
      <c r="H65" s="12" t="s">
        <v>876</v>
      </c>
      <c r="I65" s="12" t="s">
        <v>956</v>
      </c>
      <c r="J65" s="12" t="s">
        <v>928</v>
      </c>
      <c r="K65" s="12" t="s">
        <v>1006</v>
      </c>
      <c r="L65" s="12" t="s">
        <v>880</v>
      </c>
      <c r="M65" s="12" t="s">
        <v>879</v>
      </c>
    </row>
    <row r="66" spans="1:13" x14ac:dyDescent="0.2">
      <c r="E66" s="23">
        <v>65</v>
      </c>
      <c r="F66" s="12" t="s">
        <v>942</v>
      </c>
      <c r="G66" s="12" t="s">
        <v>892</v>
      </c>
      <c r="H66" s="12" t="s">
        <v>876</v>
      </c>
      <c r="I66" s="12" t="s">
        <v>956</v>
      </c>
      <c r="J66" s="12" t="s">
        <v>928</v>
      </c>
      <c r="K66" s="12" t="s">
        <v>934</v>
      </c>
      <c r="L66" s="12" t="s">
        <v>880</v>
      </c>
      <c r="M66" s="12" t="s">
        <v>879</v>
      </c>
    </row>
    <row r="67" spans="1:13" x14ac:dyDescent="0.2">
      <c r="E67" s="23">
        <v>66</v>
      </c>
      <c r="F67" s="12" t="s">
        <v>942</v>
      </c>
      <c r="G67" s="12" t="s">
        <v>892</v>
      </c>
      <c r="H67" s="12" t="s">
        <v>876</v>
      </c>
      <c r="I67" s="12" t="s">
        <v>956</v>
      </c>
      <c r="J67" s="12" t="s">
        <v>928</v>
      </c>
      <c r="K67" s="12" t="s">
        <v>934</v>
      </c>
      <c r="L67" s="12" t="s">
        <v>880</v>
      </c>
      <c r="M67" s="12" t="s">
        <v>879</v>
      </c>
    </row>
    <row r="68" spans="1:13" x14ac:dyDescent="0.2">
      <c r="E68" s="23">
        <v>67</v>
      </c>
      <c r="F68" s="12" t="s">
        <v>942</v>
      </c>
      <c r="G68" s="12" t="s">
        <v>892</v>
      </c>
      <c r="H68" s="12" t="s">
        <v>876</v>
      </c>
      <c r="I68" s="12" t="s">
        <v>956</v>
      </c>
      <c r="J68" s="12" t="s">
        <v>928</v>
      </c>
      <c r="K68" s="12" t="s">
        <v>934</v>
      </c>
      <c r="L68" s="12" t="s">
        <v>880</v>
      </c>
      <c r="M68" s="12" t="s">
        <v>879</v>
      </c>
    </row>
    <row r="69" spans="1:13" x14ac:dyDescent="0.2">
      <c r="E69" s="23">
        <v>68</v>
      </c>
      <c r="F69" s="12" t="s">
        <v>942</v>
      </c>
      <c r="G69" s="12" t="s">
        <v>892</v>
      </c>
      <c r="H69" s="12" t="s">
        <v>876</v>
      </c>
      <c r="I69" s="12" t="s">
        <v>956</v>
      </c>
      <c r="J69" s="12" t="s">
        <v>928</v>
      </c>
      <c r="K69" s="12" t="s">
        <v>939</v>
      </c>
      <c r="L69" s="12" t="s">
        <v>880</v>
      </c>
      <c r="M69" s="12" t="s">
        <v>879</v>
      </c>
    </row>
    <row r="70" spans="1:13" x14ac:dyDescent="0.2">
      <c r="E70" s="23">
        <v>69</v>
      </c>
      <c r="F70" s="12" t="s">
        <v>942</v>
      </c>
      <c r="G70" s="12" t="s">
        <v>892</v>
      </c>
      <c r="H70" s="12" t="s">
        <v>876</v>
      </c>
      <c r="I70" s="12" t="s">
        <v>956</v>
      </c>
      <c r="J70" s="12" t="s">
        <v>928</v>
      </c>
      <c r="K70" s="12" t="s">
        <v>939</v>
      </c>
      <c r="L70" s="12" t="s">
        <v>880</v>
      </c>
      <c r="M70" s="12" t="s">
        <v>879</v>
      </c>
    </row>
    <row r="71" spans="1:13" x14ac:dyDescent="0.2">
      <c r="E71" s="23">
        <v>70</v>
      </c>
      <c r="F71" s="12" t="s">
        <v>942</v>
      </c>
      <c r="G71" s="12" t="s">
        <v>892</v>
      </c>
      <c r="H71" s="12" t="s">
        <v>876</v>
      </c>
      <c r="I71" s="12" t="s">
        <v>956</v>
      </c>
      <c r="J71" s="12" t="s">
        <v>927</v>
      </c>
      <c r="K71" s="12" t="s">
        <v>939</v>
      </c>
      <c r="L71" s="12" t="s">
        <v>880</v>
      </c>
      <c r="M71" s="12" t="s">
        <v>879</v>
      </c>
    </row>
    <row r="72" spans="1:13" x14ac:dyDescent="0.2">
      <c r="E72" s="23">
        <v>71</v>
      </c>
      <c r="F72" s="12" t="s">
        <v>942</v>
      </c>
      <c r="G72" s="12" t="s">
        <v>892</v>
      </c>
      <c r="H72" s="12" t="s">
        <v>876</v>
      </c>
      <c r="I72" s="12" t="s">
        <v>956</v>
      </c>
      <c r="J72" s="12" t="s">
        <v>927</v>
      </c>
      <c r="K72" s="12" t="s">
        <v>939</v>
      </c>
      <c r="L72" s="12" t="s">
        <v>880</v>
      </c>
      <c r="M72" s="12" t="s">
        <v>877</v>
      </c>
    </row>
    <row r="73" spans="1:13" x14ac:dyDescent="0.2">
      <c r="A73" s="20"/>
      <c r="B73" s="20"/>
      <c r="E73" s="23">
        <v>72</v>
      </c>
      <c r="F73" s="12" t="s">
        <v>942</v>
      </c>
      <c r="G73" s="12" t="s">
        <v>892</v>
      </c>
      <c r="H73" s="12" t="s">
        <v>876</v>
      </c>
      <c r="I73" s="12" t="s">
        <v>956</v>
      </c>
      <c r="J73" s="12" t="s">
        <v>927</v>
      </c>
      <c r="K73" s="12" t="s">
        <v>940</v>
      </c>
      <c r="L73" s="12" t="s">
        <v>880</v>
      </c>
      <c r="M73" s="12" t="s">
        <v>877</v>
      </c>
    </row>
    <row r="74" spans="1:13" x14ac:dyDescent="0.2">
      <c r="E74" s="23">
        <v>73</v>
      </c>
      <c r="F74" s="12" t="s">
        <v>942</v>
      </c>
      <c r="G74" s="12" t="s">
        <v>892</v>
      </c>
      <c r="H74" s="12" t="s">
        <v>876</v>
      </c>
      <c r="I74" s="12" t="s">
        <v>956</v>
      </c>
      <c r="J74" s="12" t="s">
        <v>927</v>
      </c>
      <c r="K74" s="12" t="s">
        <v>940</v>
      </c>
      <c r="L74" s="12" t="s">
        <v>880</v>
      </c>
      <c r="M74" s="12" t="s">
        <v>877</v>
      </c>
    </row>
    <row r="75" spans="1:13" x14ac:dyDescent="0.2">
      <c r="E75" s="23">
        <v>74</v>
      </c>
      <c r="F75" s="12" t="s">
        <v>942</v>
      </c>
      <c r="G75" s="12" t="s">
        <v>892</v>
      </c>
      <c r="H75" s="12" t="s">
        <v>876</v>
      </c>
      <c r="I75" s="12" t="s">
        <v>956</v>
      </c>
      <c r="J75" s="12" t="s">
        <v>927</v>
      </c>
      <c r="K75" s="12" t="s">
        <v>940</v>
      </c>
      <c r="L75" s="12" t="s">
        <v>880</v>
      </c>
      <c r="M75" s="12" t="s">
        <v>877</v>
      </c>
    </row>
    <row r="76" spans="1:13" x14ac:dyDescent="0.2">
      <c r="E76" s="23">
        <v>75</v>
      </c>
      <c r="F76" s="12" t="s">
        <v>942</v>
      </c>
      <c r="G76" s="12" t="s">
        <v>892</v>
      </c>
      <c r="H76" s="12" t="s">
        <v>876</v>
      </c>
      <c r="I76" s="12" t="s">
        <v>956</v>
      </c>
      <c r="J76" s="12" t="s">
        <v>927</v>
      </c>
      <c r="K76" s="12" t="s">
        <v>938</v>
      </c>
      <c r="L76" s="12" t="s">
        <v>880</v>
      </c>
      <c r="M76" s="12" t="s">
        <v>877</v>
      </c>
    </row>
    <row r="77" spans="1:13" x14ac:dyDescent="0.2">
      <c r="E77" s="23">
        <v>76</v>
      </c>
      <c r="F77" s="12" t="s">
        <v>942</v>
      </c>
      <c r="G77" s="12" t="s">
        <v>892</v>
      </c>
      <c r="H77" s="12" t="s">
        <v>876</v>
      </c>
      <c r="I77" s="12" t="s">
        <v>956</v>
      </c>
      <c r="J77" s="12" t="s">
        <v>927</v>
      </c>
      <c r="K77" s="12" t="s">
        <v>938</v>
      </c>
      <c r="L77" s="12" t="s">
        <v>880</v>
      </c>
      <c r="M77" s="12" t="s">
        <v>877</v>
      </c>
    </row>
    <row r="78" spans="1:13" x14ac:dyDescent="0.2">
      <c r="E78" s="23">
        <v>77</v>
      </c>
      <c r="F78" s="12" t="s">
        <v>942</v>
      </c>
      <c r="G78" s="12" t="s">
        <v>892</v>
      </c>
      <c r="H78" s="12" t="s">
        <v>876</v>
      </c>
      <c r="I78" s="12" t="s">
        <v>956</v>
      </c>
      <c r="J78" s="12" t="s">
        <v>927</v>
      </c>
      <c r="K78" s="12" t="s">
        <v>938</v>
      </c>
      <c r="L78" s="12" t="s">
        <v>880</v>
      </c>
      <c r="M78" s="12" t="s">
        <v>877</v>
      </c>
    </row>
    <row r="79" spans="1:13" x14ac:dyDescent="0.2">
      <c r="E79" s="23">
        <v>78</v>
      </c>
      <c r="F79" s="12" t="s">
        <v>942</v>
      </c>
      <c r="G79" s="12" t="s">
        <v>892</v>
      </c>
      <c r="H79" s="12" t="s">
        <v>876</v>
      </c>
      <c r="I79" s="12" t="s">
        <v>956</v>
      </c>
      <c r="J79" s="12" t="s">
        <v>927</v>
      </c>
      <c r="K79" s="12" t="s">
        <v>933</v>
      </c>
      <c r="L79" s="12" t="s">
        <v>880</v>
      </c>
      <c r="M79" s="12" t="s">
        <v>877</v>
      </c>
    </row>
    <row r="80" spans="1:13" x14ac:dyDescent="0.2">
      <c r="E80" s="23">
        <v>79</v>
      </c>
      <c r="F80" s="12" t="s">
        <v>942</v>
      </c>
      <c r="G80" s="12" t="s">
        <v>892</v>
      </c>
      <c r="H80" s="12" t="s">
        <v>876</v>
      </c>
      <c r="I80" s="12" t="s">
        <v>956</v>
      </c>
      <c r="J80" s="12" t="s">
        <v>927</v>
      </c>
      <c r="K80" s="12" t="s">
        <v>933</v>
      </c>
      <c r="L80" s="12" t="s">
        <v>880</v>
      </c>
      <c r="M80" s="12" t="s">
        <v>877</v>
      </c>
    </row>
    <row r="81" spans="5:13" x14ac:dyDescent="0.2">
      <c r="E81" s="23">
        <v>80</v>
      </c>
      <c r="F81" s="12" t="s">
        <v>942</v>
      </c>
      <c r="G81" s="12" t="s">
        <v>892</v>
      </c>
      <c r="H81" s="12" t="s">
        <v>876</v>
      </c>
      <c r="I81" s="12" t="s">
        <v>956</v>
      </c>
      <c r="J81" s="12" t="s">
        <v>875</v>
      </c>
      <c r="K81" s="12" t="s">
        <v>933</v>
      </c>
      <c r="L81" s="12" t="s">
        <v>880</v>
      </c>
      <c r="M81" s="12" t="s">
        <v>877</v>
      </c>
    </row>
    <row r="82" spans="5:13" x14ac:dyDescent="0.2">
      <c r="E82" s="23">
        <v>81</v>
      </c>
      <c r="F82" s="12" t="s">
        <v>943</v>
      </c>
      <c r="G82" s="12" t="s">
        <v>892</v>
      </c>
      <c r="H82" s="12" t="s">
        <v>876</v>
      </c>
      <c r="I82" s="12" t="s">
        <v>956</v>
      </c>
      <c r="J82" s="12" t="s">
        <v>875</v>
      </c>
      <c r="K82" s="12" t="s">
        <v>932</v>
      </c>
      <c r="L82" s="12" t="s">
        <v>880</v>
      </c>
      <c r="M82" s="12" t="s">
        <v>877</v>
      </c>
    </row>
    <row r="83" spans="5:13" x14ac:dyDescent="0.2">
      <c r="E83" s="23">
        <v>82</v>
      </c>
      <c r="F83" s="12" t="s">
        <v>943</v>
      </c>
      <c r="G83" s="12" t="s">
        <v>892</v>
      </c>
      <c r="H83" s="12" t="s">
        <v>876</v>
      </c>
      <c r="I83" s="12" t="s">
        <v>956</v>
      </c>
      <c r="J83" s="12" t="s">
        <v>875</v>
      </c>
      <c r="K83" s="12" t="s">
        <v>932</v>
      </c>
      <c r="L83" s="12" t="s">
        <v>880</v>
      </c>
      <c r="M83" s="12" t="s">
        <v>877</v>
      </c>
    </row>
    <row r="84" spans="5:13" x14ac:dyDescent="0.2">
      <c r="E84" s="23">
        <v>83</v>
      </c>
      <c r="F84" s="12" t="s">
        <v>943</v>
      </c>
      <c r="G84" s="12" t="s">
        <v>892</v>
      </c>
      <c r="H84" s="12" t="s">
        <v>876</v>
      </c>
      <c r="I84" s="12" t="s">
        <v>956</v>
      </c>
      <c r="J84" s="12" t="s">
        <v>875</v>
      </c>
      <c r="K84" s="12" t="s">
        <v>932</v>
      </c>
      <c r="L84" s="12" t="s">
        <v>880</v>
      </c>
      <c r="M84" s="12" t="s">
        <v>877</v>
      </c>
    </row>
    <row r="85" spans="5:13" x14ac:dyDescent="0.2">
      <c r="E85" s="23">
        <v>84</v>
      </c>
      <c r="F85" s="12" t="s">
        <v>943</v>
      </c>
      <c r="G85" s="12" t="s">
        <v>892</v>
      </c>
      <c r="H85" s="12" t="s">
        <v>876</v>
      </c>
      <c r="I85" s="12" t="s">
        <v>956</v>
      </c>
      <c r="J85" s="12" t="s">
        <v>875</v>
      </c>
      <c r="K85" s="12" t="s">
        <v>932</v>
      </c>
      <c r="L85" s="12" t="s">
        <v>880</v>
      </c>
      <c r="M85" s="12" t="s">
        <v>877</v>
      </c>
    </row>
    <row r="86" spans="5:13" x14ac:dyDescent="0.2">
      <c r="E86" s="23">
        <v>85</v>
      </c>
      <c r="F86" s="12" t="s">
        <v>943</v>
      </c>
      <c r="G86" s="12" t="s">
        <v>892</v>
      </c>
      <c r="H86" s="12" t="s">
        <v>876</v>
      </c>
      <c r="I86" s="12" t="s">
        <v>956</v>
      </c>
      <c r="J86" s="12" t="s">
        <v>875</v>
      </c>
      <c r="K86" s="12" t="s">
        <v>932</v>
      </c>
      <c r="L86" s="12" t="s">
        <v>880</v>
      </c>
      <c r="M86" s="12" t="s">
        <v>877</v>
      </c>
    </row>
    <row r="87" spans="5:13" x14ac:dyDescent="0.2">
      <c r="E87" s="23">
        <v>86</v>
      </c>
      <c r="F87" s="12" t="s">
        <v>943</v>
      </c>
      <c r="G87" s="12" t="s">
        <v>892</v>
      </c>
      <c r="H87" s="12" t="s">
        <v>876</v>
      </c>
      <c r="I87" s="12" t="s">
        <v>956</v>
      </c>
      <c r="J87" s="12" t="s">
        <v>875</v>
      </c>
      <c r="K87" s="12" t="s">
        <v>932</v>
      </c>
      <c r="L87" s="12" t="s">
        <v>880</v>
      </c>
      <c r="M87" s="12" t="s">
        <v>877</v>
      </c>
    </row>
    <row r="88" spans="5:13" x14ac:dyDescent="0.2">
      <c r="E88" s="23">
        <v>87</v>
      </c>
      <c r="F88" s="12" t="s">
        <v>943</v>
      </c>
      <c r="G88" s="12" t="s">
        <v>892</v>
      </c>
      <c r="H88" s="12" t="s">
        <v>876</v>
      </c>
      <c r="I88" s="12" t="s">
        <v>956</v>
      </c>
      <c r="J88" s="12" t="s">
        <v>875</v>
      </c>
      <c r="K88" s="12" t="s">
        <v>932</v>
      </c>
      <c r="L88" s="12" t="s">
        <v>880</v>
      </c>
      <c r="M88" s="12" t="s">
        <v>877</v>
      </c>
    </row>
    <row r="89" spans="5:13" x14ac:dyDescent="0.2">
      <c r="E89" s="23">
        <v>88</v>
      </c>
      <c r="F89" s="12" t="s">
        <v>943</v>
      </c>
      <c r="G89" s="12" t="s">
        <v>892</v>
      </c>
      <c r="H89" s="12" t="s">
        <v>876</v>
      </c>
      <c r="I89" s="12" t="s">
        <v>956</v>
      </c>
      <c r="J89" s="12" t="s">
        <v>875</v>
      </c>
      <c r="K89" s="12" t="s">
        <v>932</v>
      </c>
      <c r="L89" s="12" t="s">
        <v>880</v>
      </c>
      <c r="M89" s="12" t="s">
        <v>877</v>
      </c>
    </row>
    <row r="90" spans="5:13" x14ac:dyDescent="0.2">
      <c r="E90" s="23">
        <v>89</v>
      </c>
      <c r="F90" s="12" t="s">
        <v>943</v>
      </c>
      <c r="G90" s="12" t="s">
        <v>892</v>
      </c>
      <c r="H90" s="12" t="s">
        <v>876</v>
      </c>
      <c r="I90" s="12" t="s">
        <v>956</v>
      </c>
      <c r="J90" s="12" t="s">
        <v>875</v>
      </c>
      <c r="K90" s="12" t="s">
        <v>932</v>
      </c>
      <c r="L90" s="12" t="s">
        <v>880</v>
      </c>
      <c r="M90" s="12" t="s">
        <v>877</v>
      </c>
    </row>
    <row r="91" spans="5:13" x14ac:dyDescent="0.2">
      <c r="E91" s="23">
        <v>90</v>
      </c>
      <c r="F91" s="12" t="s">
        <v>943</v>
      </c>
      <c r="G91" s="12" t="s">
        <v>892</v>
      </c>
      <c r="H91" s="12" t="s">
        <v>876</v>
      </c>
      <c r="I91" s="12" t="s">
        <v>956</v>
      </c>
      <c r="J91" s="12" t="s">
        <v>926</v>
      </c>
      <c r="K91" s="12" t="s">
        <v>936</v>
      </c>
      <c r="L91" s="12" t="s">
        <v>880</v>
      </c>
      <c r="M91" s="12" t="s">
        <v>877</v>
      </c>
    </row>
    <row r="92" spans="5:13" x14ac:dyDescent="0.2">
      <c r="E92" s="23">
        <v>91</v>
      </c>
      <c r="F92" s="12" t="s">
        <v>943</v>
      </c>
      <c r="G92" s="12" t="s">
        <v>892</v>
      </c>
      <c r="H92" s="12" t="s">
        <v>876</v>
      </c>
      <c r="I92" s="12" t="s">
        <v>956</v>
      </c>
      <c r="J92" s="12" t="s">
        <v>926</v>
      </c>
      <c r="K92" s="12" t="s">
        <v>936</v>
      </c>
      <c r="L92" s="12" t="s">
        <v>880</v>
      </c>
      <c r="M92" s="12" t="s">
        <v>957</v>
      </c>
    </row>
    <row r="93" spans="5:13" x14ac:dyDescent="0.2">
      <c r="E93" s="23">
        <v>92</v>
      </c>
      <c r="F93" s="12" t="s">
        <v>943</v>
      </c>
      <c r="G93" s="12" t="s">
        <v>892</v>
      </c>
      <c r="H93" s="12" t="s">
        <v>876</v>
      </c>
      <c r="I93" s="12" t="s">
        <v>956</v>
      </c>
      <c r="J93" s="12" t="s">
        <v>926</v>
      </c>
      <c r="K93" s="12" t="s">
        <v>936</v>
      </c>
      <c r="L93" s="12" t="s">
        <v>880</v>
      </c>
      <c r="M93" s="12" t="s">
        <v>957</v>
      </c>
    </row>
    <row r="94" spans="5:13" x14ac:dyDescent="0.2">
      <c r="E94" s="23">
        <v>93</v>
      </c>
      <c r="F94" s="12" t="s">
        <v>943</v>
      </c>
      <c r="G94" s="12" t="s">
        <v>892</v>
      </c>
      <c r="H94" s="12" t="s">
        <v>876</v>
      </c>
      <c r="I94" s="12" t="s">
        <v>956</v>
      </c>
      <c r="J94" s="12" t="s">
        <v>926</v>
      </c>
      <c r="K94" s="12" t="s">
        <v>950</v>
      </c>
      <c r="L94" s="12" t="s">
        <v>880</v>
      </c>
      <c r="M94" s="12" t="s">
        <v>957</v>
      </c>
    </row>
    <row r="95" spans="5:13" x14ac:dyDescent="0.2">
      <c r="E95" s="23">
        <v>94</v>
      </c>
      <c r="F95" s="12" t="s">
        <v>943</v>
      </c>
      <c r="G95" s="12" t="s">
        <v>892</v>
      </c>
      <c r="H95" s="12" t="s">
        <v>876</v>
      </c>
      <c r="I95" s="12" t="s">
        <v>956</v>
      </c>
      <c r="J95" s="12" t="s">
        <v>926</v>
      </c>
      <c r="K95" s="12" t="s">
        <v>950</v>
      </c>
      <c r="L95" s="12" t="s">
        <v>880</v>
      </c>
      <c r="M95" s="12" t="s">
        <v>957</v>
      </c>
    </row>
    <row r="96" spans="5:13" x14ac:dyDescent="0.2">
      <c r="E96" s="23">
        <v>95</v>
      </c>
      <c r="F96" s="12" t="s">
        <v>943</v>
      </c>
      <c r="G96" s="12" t="s">
        <v>892</v>
      </c>
      <c r="H96" s="12" t="s">
        <v>876</v>
      </c>
      <c r="I96" s="12" t="s">
        <v>956</v>
      </c>
      <c r="J96" s="12" t="s">
        <v>926</v>
      </c>
      <c r="K96" s="12" t="s">
        <v>950</v>
      </c>
      <c r="L96" s="12" t="s">
        <v>880</v>
      </c>
      <c r="M96" s="12" t="s">
        <v>957</v>
      </c>
    </row>
    <row r="97" spans="5:13" x14ac:dyDescent="0.2">
      <c r="E97" s="23">
        <v>96</v>
      </c>
      <c r="F97" s="12" t="s">
        <v>943</v>
      </c>
      <c r="G97" s="12" t="s">
        <v>892</v>
      </c>
      <c r="H97" s="12" t="s">
        <v>876</v>
      </c>
      <c r="I97" s="12" t="s">
        <v>956</v>
      </c>
      <c r="J97" s="12" t="s">
        <v>926</v>
      </c>
      <c r="K97" s="12" t="s">
        <v>955</v>
      </c>
      <c r="L97" s="12" t="s">
        <v>880</v>
      </c>
      <c r="M97" s="12" t="s">
        <v>957</v>
      </c>
    </row>
    <row r="98" spans="5:13" x14ac:dyDescent="0.2">
      <c r="E98" s="23">
        <v>97</v>
      </c>
      <c r="F98" s="12" t="s">
        <v>943</v>
      </c>
      <c r="G98" s="12" t="s">
        <v>892</v>
      </c>
      <c r="H98" s="12" t="s">
        <v>876</v>
      </c>
      <c r="I98" s="12" t="s">
        <v>956</v>
      </c>
      <c r="J98" s="12" t="s">
        <v>926</v>
      </c>
      <c r="K98" s="12" t="s">
        <v>955</v>
      </c>
      <c r="L98" s="12" t="s">
        <v>880</v>
      </c>
      <c r="M98" s="12" t="s">
        <v>957</v>
      </c>
    </row>
    <row r="99" spans="5:13" x14ac:dyDescent="0.2">
      <c r="E99" s="23">
        <v>98</v>
      </c>
      <c r="F99" s="12" t="s">
        <v>943</v>
      </c>
      <c r="G99" s="12" t="s">
        <v>892</v>
      </c>
      <c r="H99" s="12" t="s">
        <v>876</v>
      </c>
      <c r="I99" s="12" t="s">
        <v>956</v>
      </c>
      <c r="J99" s="12" t="s">
        <v>926</v>
      </c>
      <c r="K99" s="12" t="s">
        <v>955</v>
      </c>
      <c r="L99" s="12" t="s">
        <v>880</v>
      </c>
      <c r="M99" s="12" t="s">
        <v>957</v>
      </c>
    </row>
    <row r="100" spans="5:13" x14ac:dyDescent="0.2">
      <c r="E100" s="23">
        <v>99</v>
      </c>
      <c r="F100" s="12" t="s">
        <v>943</v>
      </c>
      <c r="G100" s="12" t="s">
        <v>892</v>
      </c>
      <c r="H100" s="12" t="s">
        <v>876</v>
      </c>
      <c r="I100" s="12" t="s">
        <v>956</v>
      </c>
      <c r="J100" s="12" t="s">
        <v>926</v>
      </c>
      <c r="K100" s="12" t="s">
        <v>947</v>
      </c>
      <c r="L100" s="12" t="s">
        <v>880</v>
      </c>
      <c r="M100" s="12" t="s">
        <v>957</v>
      </c>
    </row>
    <row r="101" spans="5:13" x14ac:dyDescent="0.2">
      <c r="E101" s="23">
        <v>100</v>
      </c>
      <c r="F101" s="12" t="s">
        <v>943</v>
      </c>
      <c r="G101" s="12" t="s">
        <v>892</v>
      </c>
      <c r="H101" s="12" t="s">
        <v>876</v>
      </c>
      <c r="I101" s="12" t="s">
        <v>956</v>
      </c>
      <c r="J101" s="12" t="s">
        <v>926</v>
      </c>
      <c r="K101" s="12" t="s">
        <v>947</v>
      </c>
      <c r="L101" s="12" t="s">
        <v>880</v>
      </c>
      <c r="M101" s="12" t="s">
        <v>957</v>
      </c>
    </row>
    <row r="111" spans="5:13" x14ac:dyDescent="0.2">
      <c r="J111" s="23">
        <v>93</v>
      </c>
      <c r="K111" s="12" t="s">
        <v>948</v>
      </c>
    </row>
    <row r="112" spans="5:13" x14ac:dyDescent="0.2">
      <c r="J112" s="23">
        <v>94</v>
      </c>
      <c r="K112" s="12" t="s">
        <v>949</v>
      </c>
    </row>
    <row r="113" spans="10:11" x14ac:dyDescent="0.2">
      <c r="J113" s="23">
        <v>95</v>
      </c>
      <c r="K113" s="20" t="s">
        <v>950</v>
      </c>
    </row>
    <row r="114" spans="10:11" x14ac:dyDescent="0.2">
      <c r="J114" s="23">
        <v>96</v>
      </c>
      <c r="K114" s="12" t="s">
        <v>952</v>
      </c>
    </row>
    <row r="115" spans="10:11" x14ac:dyDescent="0.2">
      <c r="J115" s="23">
        <v>97</v>
      </c>
      <c r="K115" s="12" t="s">
        <v>954</v>
      </c>
    </row>
    <row r="116" spans="10:11" x14ac:dyDescent="0.2">
      <c r="J116" s="23">
        <v>98</v>
      </c>
      <c r="K116" s="20" t="s">
        <v>955</v>
      </c>
    </row>
    <row r="117" spans="10:11" x14ac:dyDescent="0.2">
      <c r="J117" s="23">
        <v>99</v>
      </c>
      <c r="K117" s="12" t="s">
        <v>953</v>
      </c>
    </row>
    <row r="118" spans="10:11" x14ac:dyDescent="0.2">
      <c r="J118" s="23">
        <v>100</v>
      </c>
      <c r="K118" s="20" t="s">
        <v>947</v>
      </c>
    </row>
  </sheetData>
  <sheetProtection selectLockedCells="1" selectUnlockedCells="1"/>
  <pageMargins left="0.78749999999999998" right="0.78749999999999998" top="1.0527777777777778" bottom="1.0527777777777778" header="0.78749999999999998" footer="0.78749999999999998"/>
  <pageSetup paperSize="9" firstPageNumber="0" orientation="portrait" horizontalDpi="300" verticalDpi="300"/>
  <headerFooter alignWithMargins="0">
    <oddHeader>&amp;C&amp;"Times New Roman,Normaali"&amp;12&amp;A</oddHeader>
    <oddFooter>&amp;C&amp;"Times New Roman,Normaali"&amp;12Sivu &amp;P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66"/>
  <sheetViews>
    <sheetView workbookViewId="0">
      <selection activeCell="F51" sqref="F51"/>
    </sheetView>
  </sheetViews>
  <sheetFormatPr defaultColWidth="9.140625" defaultRowHeight="11.25" x14ac:dyDescent="0.2"/>
  <cols>
    <col min="1" max="1" width="14.85546875" style="4" customWidth="1"/>
    <col min="2" max="2" width="36" style="4" customWidth="1"/>
    <col min="3" max="3" width="20.7109375" style="4" customWidth="1"/>
    <col min="4" max="4" width="18.42578125" style="4" customWidth="1"/>
    <col min="5" max="5" width="10.85546875" style="4" customWidth="1"/>
    <col min="6" max="6" width="36" style="4" customWidth="1"/>
    <col min="7" max="16384" width="9.140625" style="4"/>
  </cols>
  <sheetData>
    <row r="1" spans="1:6" x14ac:dyDescent="0.2">
      <c r="A1" s="65" t="s">
        <v>206</v>
      </c>
      <c r="B1" s="65" t="s">
        <v>3945</v>
      </c>
      <c r="C1" s="65" t="s">
        <v>3946</v>
      </c>
      <c r="D1" s="65" t="s">
        <v>3947</v>
      </c>
      <c r="E1" s="65" t="s">
        <v>3948</v>
      </c>
      <c r="F1" s="66" t="s">
        <v>3949</v>
      </c>
    </row>
    <row r="2" spans="1:6" x14ac:dyDescent="0.2">
      <c r="A2" s="2" t="s">
        <v>918</v>
      </c>
      <c r="B2" s="4" t="s">
        <v>3950</v>
      </c>
    </row>
    <row r="3" spans="1:6" x14ac:dyDescent="0.2">
      <c r="A3" s="2" t="s">
        <v>948</v>
      </c>
      <c r="B3" s="4" t="s">
        <v>3950</v>
      </c>
    </row>
    <row r="4" spans="1:6" x14ac:dyDescent="0.2">
      <c r="A4" s="2" t="s">
        <v>177</v>
      </c>
      <c r="B4" s="4" t="s">
        <v>3950</v>
      </c>
    </row>
    <row r="5" spans="1:6" x14ac:dyDescent="0.2">
      <c r="A5" s="2" t="s">
        <v>978</v>
      </c>
      <c r="B5" s="4" t="s">
        <v>3950</v>
      </c>
    </row>
    <row r="6" spans="1:6" x14ac:dyDescent="0.2">
      <c r="A6" s="2" t="s">
        <v>949</v>
      </c>
      <c r="B6" s="4" t="s">
        <v>3950</v>
      </c>
    </row>
    <row r="7" spans="1:6" x14ac:dyDescent="0.2">
      <c r="A7" s="2" t="s">
        <v>928</v>
      </c>
      <c r="B7" s="4" t="s">
        <v>3950</v>
      </c>
    </row>
    <row r="8" spans="1:6" x14ac:dyDescent="0.2">
      <c r="A8" s="2" t="s">
        <v>959</v>
      </c>
    </row>
    <row r="9" spans="1:6" x14ac:dyDescent="0.2">
      <c r="A9" s="2" t="s">
        <v>894</v>
      </c>
      <c r="B9" s="4" t="s">
        <v>3682</v>
      </c>
      <c r="C9" s="4" t="s">
        <v>3655</v>
      </c>
      <c r="D9" s="4" t="s">
        <v>3709</v>
      </c>
    </row>
    <row r="10" spans="1:6" x14ac:dyDescent="0.2">
      <c r="A10" s="2" t="s">
        <v>875</v>
      </c>
      <c r="B10" s="4" t="s">
        <v>3950</v>
      </c>
    </row>
    <row r="11" spans="1:6" x14ac:dyDescent="0.2">
      <c r="A11" s="2" t="s">
        <v>1006</v>
      </c>
      <c r="B11" s="4" t="s">
        <v>3950</v>
      </c>
    </row>
    <row r="12" spans="1:6" x14ac:dyDescent="0.2">
      <c r="A12" s="2" t="s">
        <v>931</v>
      </c>
      <c r="B12" s="4" t="s">
        <v>3950</v>
      </c>
    </row>
    <row r="13" spans="1:6" x14ac:dyDescent="0.2">
      <c r="A13" s="2" t="s">
        <v>1016</v>
      </c>
      <c r="B13" s="4" t="s">
        <v>3950</v>
      </c>
    </row>
    <row r="14" spans="1:6" x14ac:dyDescent="0.2">
      <c r="A14" s="2" t="s">
        <v>958</v>
      </c>
    </row>
    <row r="15" spans="1:6" x14ac:dyDescent="0.2">
      <c r="A15" s="2" t="s">
        <v>957</v>
      </c>
    </row>
    <row r="16" spans="1:6" x14ac:dyDescent="0.2">
      <c r="A16" s="2" t="s">
        <v>924</v>
      </c>
      <c r="B16" s="4" t="s">
        <v>3950</v>
      </c>
    </row>
    <row r="17" spans="1:4" x14ac:dyDescent="0.2">
      <c r="A17" s="2" t="s">
        <v>919</v>
      </c>
      <c r="B17" s="4" t="s">
        <v>3950</v>
      </c>
    </row>
    <row r="18" spans="1:4" x14ac:dyDescent="0.2">
      <c r="A18" s="2" t="s">
        <v>876</v>
      </c>
      <c r="B18" s="4" t="s">
        <v>3682</v>
      </c>
      <c r="C18" s="4" t="s">
        <v>3655</v>
      </c>
      <c r="D18" s="4" t="s">
        <v>3709</v>
      </c>
    </row>
    <row r="19" spans="1:4" x14ac:dyDescent="0.2">
      <c r="A19" s="2" t="s">
        <v>950</v>
      </c>
      <c r="B19" s="4" t="s">
        <v>3950</v>
      </c>
    </row>
    <row r="20" spans="1:4" x14ac:dyDescent="0.2">
      <c r="A20" s="2" t="s">
        <v>930</v>
      </c>
      <c r="B20" s="4" t="s">
        <v>3950</v>
      </c>
    </row>
    <row r="21" spans="1:4" x14ac:dyDescent="0.2">
      <c r="A21" s="2" t="s">
        <v>938</v>
      </c>
      <c r="B21" s="4" t="s">
        <v>3950</v>
      </c>
    </row>
    <row r="22" spans="1:4" x14ac:dyDescent="0.2">
      <c r="A22" s="2" t="s">
        <v>943</v>
      </c>
      <c r="B22" s="4" t="s">
        <v>3682</v>
      </c>
      <c r="C22" s="4" t="s">
        <v>3655</v>
      </c>
      <c r="D22" s="4" t="s">
        <v>3951</v>
      </c>
    </row>
    <row r="23" spans="1:4" x14ac:dyDescent="0.2">
      <c r="A23" s="2" t="s">
        <v>952</v>
      </c>
      <c r="B23" s="4" t="s">
        <v>3950</v>
      </c>
    </row>
    <row r="24" spans="1:4" x14ac:dyDescent="0.2">
      <c r="A24" s="2" t="s">
        <v>1032</v>
      </c>
      <c r="B24" s="4" t="s">
        <v>3950</v>
      </c>
    </row>
    <row r="25" spans="1:4" x14ac:dyDescent="0.2">
      <c r="A25" s="2" t="s">
        <v>933</v>
      </c>
      <c r="B25" s="4" t="s">
        <v>3950</v>
      </c>
    </row>
    <row r="26" spans="1:4" x14ac:dyDescent="0.2">
      <c r="A26" s="2" t="s">
        <v>880</v>
      </c>
      <c r="B26" s="4" t="s">
        <v>3952</v>
      </c>
      <c r="C26" s="4" t="s">
        <v>3709</v>
      </c>
    </row>
    <row r="27" spans="1:4" x14ac:dyDescent="0.2">
      <c r="A27" s="2" t="s">
        <v>1038</v>
      </c>
      <c r="B27" s="4" t="s">
        <v>3953</v>
      </c>
      <c r="C27" s="4" t="s">
        <v>3954</v>
      </c>
      <c r="D27" s="4" t="s">
        <v>3709</v>
      </c>
    </row>
    <row r="28" spans="1:4" x14ac:dyDescent="0.2">
      <c r="A28" s="2" t="s">
        <v>961</v>
      </c>
    </row>
    <row r="29" spans="1:4" x14ac:dyDescent="0.2">
      <c r="A29" s="2" t="s">
        <v>939</v>
      </c>
      <c r="B29" s="4" t="s">
        <v>3950</v>
      </c>
    </row>
    <row r="30" spans="1:4" x14ac:dyDescent="0.2">
      <c r="A30" s="2" t="s">
        <v>940</v>
      </c>
      <c r="B30" s="4" t="s">
        <v>3950</v>
      </c>
    </row>
    <row r="31" spans="1:4" x14ac:dyDescent="0.2">
      <c r="A31" s="2" t="s">
        <v>941</v>
      </c>
      <c r="B31" s="4" t="s">
        <v>3682</v>
      </c>
      <c r="C31" s="4" t="s">
        <v>3655</v>
      </c>
      <c r="D31" s="4" t="s">
        <v>3951</v>
      </c>
    </row>
    <row r="32" spans="1:4" x14ac:dyDescent="0.2">
      <c r="A32" s="2" t="s">
        <v>966</v>
      </c>
      <c r="B32" s="4" t="s">
        <v>3950</v>
      </c>
    </row>
    <row r="33" spans="1:5" x14ac:dyDescent="0.2">
      <c r="A33" s="2" t="s">
        <v>1046</v>
      </c>
    </row>
    <row r="34" spans="1:5" x14ac:dyDescent="0.2">
      <c r="A34" s="2" t="s">
        <v>920</v>
      </c>
      <c r="B34" s="4" t="s">
        <v>3950</v>
      </c>
    </row>
    <row r="35" spans="1:5" x14ac:dyDescent="0.2">
      <c r="A35" s="2" t="s">
        <v>945</v>
      </c>
      <c r="B35" s="4" t="s">
        <v>3950</v>
      </c>
    </row>
    <row r="36" spans="1:5" x14ac:dyDescent="0.2">
      <c r="A36" s="2" t="s">
        <v>965</v>
      </c>
      <c r="B36" s="4" t="s">
        <v>3950</v>
      </c>
    </row>
    <row r="37" spans="1:5" x14ac:dyDescent="0.2">
      <c r="A37" s="2" t="s">
        <v>954</v>
      </c>
      <c r="B37" s="4" t="s">
        <v>3950</v>
      </c>
    </row>
    <row r="38" spans="1:5" x14ac:dyDescent="0.2">
      <c r="A38" s="2" t="s">
        <v>934</v>
      </c>
      <c r="B38" s="4" t="s">
        <v>3950</v>
      </c>
    </row>
    <row r="39" spans="1:5" x14ac:dyDescent="0.2">
      <c r="A39" s="2" t="s">
        <v>887</v>
      </c>
      <c r="B39" s="4" t="s">
        <v>3950</v>
      </c>
    </row>
    <row r="40" spans="1:5" x14ac:dyDescent="0.2">
      <c r="A40" s="2" t="s">
        <v>944</v>
      </c>
      <c r="B40" s="4" t="s">
        <v>3950</v>
      </c>
    </row>
    <row r="41" spans="1:5" x14ac:dyDescent="0.2">
      <c r="A41" s="2" t="s">
        <v>946</v>
      </c>
      <c r="B41" s="4" t="s">
        <v>3950</v>
      </c>
    </row>
    <row r="42" spans="1:5" x14ac:dyDescent="0.2">
      <c r="A42" s="2" t="s">
        <v>877</v>
      </c>
      <c r="B42" s="4" t="s">
        <v>3653</v>
      </c>
      <c r="C42" s="4" t="s">
        <v>3709</v>
      </c>
      <c r="D42" s="4" t="s">
        <v>3640</v>
      </c>
      <c r="E42" s="4" t="s">
        <v>3546</v>
      </c>
    </row>
    <row r="43" spans="1:5" x14ac:dyDescent="0.2">
      <c r="A43" s="2" t="s">
        <v>932</v>
      </c>
      <c r="B43" s="4" t="s">
        <v>3950</v>
      </c>
    </row>
    <row r="44" spans="1:5" x14ac:dyDescent="0.2">
      <c r="A44" s="2" t="s">
        <v>955</v>
      </c>
      <c r="B44" s="4" t="s">
        <v>3950</v>
      </c>
    </row>
    <row r="45" spans="1:5" x14ac:dyDescent="0.2">
      <c r="A45" s="2" t="s">
        <v>962</v>
      </c>
    </row>
    <row r="46" spans="1:5" x14ac:dyDescent="0.2">
      <c r="A46" s="2" t="s">
        <v>929</v>
      </c>
      <c r="B46" s="4" t="s">
        <v>3950</v>
      </c>
    </row>
    <row r="47" spans="1:5" x14ac:dyDescent="0.2">
      <c r="A47" s="2" t="s">
        <v>936</v>
      </c>
      <c r="B47" s="4" t="s">
        <v>3950</v>
      </c>
    </row>
    <row r="48" spans="1:5" x14ac:dyDescent="0.2">
      <c r="A48" s="2" t="s">
        <v>921</v>
      </c>
    </row>
    <row r="49" spans="1:6" x14ac:dyDescent="0.2">
      <c r="A49" s="2" t="s">
        <v>953</v>
      </c>
      <c r="B49" s="4" t="s">
        <v>3950</v>
      </c>
    </row>
    <row r="50" spans="1:6" x14ac:dyDescent="0.2">
      <c r="A50" s="2" t="s">
        <v>878</v>
      </c>
      <c r="B50" s="4" t="s">
        <v>3952</v>
      </c>
      <c r="C50" s="4" t="s">
        <v>3709</v>
      </c>
      <c r="D50" s="4" t="s">
        <v>3640</v>
      </c>
      <c r="E50" s="4" t="s">
        <v>3546</v>
      </c>
      <c r="F50" s="4" t="s">
        <v>3955</v>
      </c>
    </row>
    <row r="51" spans="1:6" x14ac:dyDescent="0.2">
      <c r="A51" s="2" t="s">
        <v>879</v>
      </c>
      <c r="B51" s="4" t="s">
        <v>3954</v>
      </c>
      <c r="C51" s="4" t="s">
        <v>3709</v>
      </c>
      <c r="D51" s="4" t="s">
        <v>3640</v>
      </c>
      <c r="E51" s="4" t="s">
        <v>3546</v>
      </c>
    </row>
    <row r="52" spans="1:6" x14ac:dyDescent="0.2">
      <c r="A52" s="2" t="s">
        <v>960</v>
      </c>
    </row>
    <row r="53" spans="1:6" x14ac:dyDescent="0.2">
      <c r="A53" s="2" t="s">
        <v>964</v>
      </c>
    </row>
    <row r="54" spans="1:6" x14ac:dyDescent="0.2">
      <c r="A54" s="2" t="s">
        <v>942</v>
      </c>
      <c r="B54" s="4" t="s">
        <v>3682</v>
      </c>
      <c r="C54" s="4" t="s">
        <v>3655</v>
      </c>
      <c r="D54" s="4" t="s">
        <v>3951</v>
      </c>
    </row>
    <row r="55" spans="1:6" x14ac:dyDescent="0.2">
      <c r="A55" s="2" t="s">
        <v>927</v>
      </c>
      <c r="B55" s="4" t="s">
        <v>3950</v>
      </c>
    </row>
    <row r="56" spans="1:6" x14ac:dyDescent="0.2">
      <c r="A56" s="2" t="s">
        <v>892</v>
      </c>
    </row>
    <row r="57" spans="1:6" x14ac:dyDescent="0.2">
      <c r="A57" s="2" t="s">
        <v>922</v>
      </c>
    </row>
    <row r="58" spans="1:6" x14ac:dyDescent="0.2">
      <c r="A58" s="2" t="s">
        <v>923</v>
      </c>
    </row>
    <row r="59" spans="1:6" x14ac:dyDescent="0.2">
      <c r="A59" s="2" t="s">
        <v>891</v>
      </c>
      <c r="B59" s="4" t="s">
        <v>3950</v>
      </c>
    </row>
    <row r="60" spans="1:6" x14ac:dyDescent="0.2">
      <c r="A60" s="2" t="s">
        <v>1130</v>
      </c>
      <c r="B60" s="4" t="s">
        <v>3682</v>
      </c>
      <c r="C60" s="4" t="s">
        <v>3655</v>
      </c>
      <c r="D60" s="4" t="s">
        <v>3709</v>
      </c>
    </row>
    <row r="61" spans="1:6" x14ac:dyDescent="0.2">
      <c r="A61" s="2" t="s">
        <v>947</v>
      </c>
      <c r="B61" s="4" t="s">
        <v>3950</v>
      </c>
    </row>
    <row r="62" spans="1:6" x14ac:dyDescent="0.2">
      <c r="A62" s="2" t="s">
        <v>889</v>
      </c>
      <c r="B62" s="4" t="s">
        <v>3950</v>
      </c>
    </row>
    <row r="63" spans="1:6" x14ac:dyDescent="0.2">
      <c r="A63" s="2" t="s">
        <v>890</v>
      </c>
      <c r="B63" s="4" t="s">
        <v>3950</v>
      </c>
    </row>
    <row r="64" spans="1:6" x14ac:dyDescent="0.2">
      <c r="A64" s="2" t="s">
        <v>963</v>
      </c>
    </row>
    <row r="65" spans="1:2" x14ac:dyDescent="0.2">
      <c r="A65" s="2" t="s">
        <v>937</v>
      </c>
      <c r="B65" s="4" t="s">
        <v>3950</v>
      </c>
    </row>
    <row r="66" spans="1:2" x14ac:dyDescent="0.2">
      <c r="A66" s="2" t="s">
        <v>956</v>
      </c>
    </row>
  </sheetData>
  <sheetProtection selectLockedCells="1" selectUnlockedCells="1"/>
  <pageMargins left="0.7" right="0.7" top="0.75" bottom="0.75" header="0.51180555555555551" footer="0.51180555555555551"/>
  <pageSetup paperSize="9" firstPageNumber="0" orientation="portrait" horizontalDpi="300" verticalDpi="300"/>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9614EC-355E-4599-9305-E6D402EDCCD7}">
  <dimension ref="A1:T54"/>
  <sheetViews>
    <sheetView workbookViewId="0">
      <selection activeCell="T2" sqref="T2"/>
    </sheetView>
  </sheetViews>
  <sheetFormatPr defaultRowHeight="12.75" x14ac:dyDescent="0.2"/>
  <cols>
    <col min="14" max="14" width="40" bestFit="1" customWidth="1"/>
  </cols>
  <sheetData>
    <row r="1" spans="1:20" x14ac:dyDescent="0.2">
      <c r="A1" t="s">
        <v>487</v>
      </c>
      <c r="E1" t="s">
        <v>5507</v>
      </c>
      <c r="N1" t="s">
        <v>5528</v>
      </c>
      <c r="O1" t="s">
        <v>1779</v>
      </c>
      <c r="R1" t="s">
        <v>5535</v>
      </c>
      <c r="S1" t="s">
        <v>368</v>
      </c>
      <c r="T1" t="s">
        <v>5542</v>
      </c>
    </row>
    <row r="2" spans="1:20" x14ac:dyDescent="0.2">
      <c r="A2" t="s">
        <v>508</v>
      </c>
      <c r="E2" t="s">
        <v>487</v>
      </c>
      <c r="N2" t="s">
        <v>5529</v>
      </c>
      <c r="O2">
        <v>0.5</v>
      </c>
      <c r="P2" t="s">
        <v>5532</v>
      </c>
      <c r="R2" t="s">
        <v>339</v>
      </c>
      <c r="S2" s="372" t="s">
        <v>5534</v>
      </c>
      <c r="T2">
        <v>200</v>
      </c>
    </row>
    <row r="3" spans="1:20" x14ac:dyDescent="0.2">
      <c r="A3" t="s">
        <v>5482</v>
      </c>
      <c r="E3" t="s">
        <v>590</v>
      </c>
      <c r="N3" t="s">
        <v>5537</v>
      </c>
      <c r="O3">
        <v>2.75</v>
      </c>
      <c r="P3" s="372" t="s">
        <v>3496</v>
      </c>
    </row>
    <row r="4" spans="1:20" x14ac:dyDescent="0.2">
      <c r="A4" t="s">
        <v>541</v>
      </c>
      <c r="E4" t="s">
        <v>5510</v>
      </c>
      <c r="N4" t="s">
        <v>5538</v>
      </c>
      <c r="O4">
        <f>O3*16</f>
        <v>44</v>
      </c>
      <c r="P4" t="s">
        <v>5539</v>
      </c>
    </row>
    <row r="5" spans="1:20" x14ac:dyDescent="0.2">
      <c r="A5" t="s">
        <v>662</v>
      </c>
      <c r="E5" s="371" t="s">
        <v>5513</v>
      </c>
    </row>
    <row r="6" spans="1:20" x14ac:dyDescent="0.2">
      <c r="A6" t="s">
        <v>5485</v>
      </c>
      <c r="E6" s="371" t="s">
        <v>1104</v>
      </c>
    </row>
    <row r="7" spans="1:20" x14ac:dyDescent="0.2">
      <c r="A7" t="s">
        <v>1104</v>
      </c>
      <c r="E7" s="371" t="s">
        <v>663</v>
      </c>
      <c r="N7" t="s">
        <v>5533</v>
      </c>
      <c r="O7" t="s">
        <v>339</v>
      </c>
      <c r="P7" s="372" t="str">
        <f>S2</f>
        <v>+20</v>
      </c>
    </row>
    <row r="8" spans="1:20" x14ac:dyDescent="0.2">
      <c r="A8" t="s">
        <v>1117</v>
      </c>
      <c r="E8" t="s">
        <v>656</v>
      </c>
      <c r="N8" t="s">
        <v>5536</v>
      </c>
      <c r="O8">
        <f>O4*T2</f>
        <v>8800</v>
      </c>
      <c r="P8" t="s">
        <v>5532</v>
      </c>
    </row>
    <row r="9" spans="1:20" x14ac:dyDescent="0.2">
      <c r="A9" t="s">
        <v>5487</v>
      </c>
      <c r="E9" t="s">
        <v>5511</v>
      </c>
      <c r="N9" t="s">
        <v>5530</v>
      </c>
      <c r="O9">
        <v>40</v>
      </c>
    </row>
    <row r="10" spans="1:20" x14ac:dyDescent="0.2">
      <c r="A10" t="s">
        <v>5484</v>
      </c>
      <c r="E10" t="s">
        <v>5509</v>
      </c>
      <c r="N10" t="s">
        <v>5531</v>
      </c>
      <c r="O10">
        <v>40</v>
      </c>
    </row>
    <row r="11" spans="1:20" x14ac:dyDescent="0.2">
      <c r="A11" t="s">
        <v>5480</v>
      </c>
      <c r="E11" s="67" t="s">
        <v>5502</v>
      </c>
      <c r="N11" t="s">
        <v>5540</v>
      </c>
      <c r="O11">
        <f>O9*O10</f>
        <v>1600</v>
      </c>
    </row>
    <row r="12" spans="1:20" x14ac:dyDescent="0.2">
      <c r="A12" t="s">
        <v>5481</v>
      </c>
      <c r="E12" s="370" t="s">
        <v>5501</v>
      </c>
    </row>
    <row r="13" spans="1:20" x14ac:dyDescent="0.2">
      <c r="A13" t="s">
        <v>173</v>
      </c>
      <c r="E13" t="s">
        <v>388</v>
      </c>
      <c r="N13" t="s">
        <v>5541</v>
      </c>
      <c r="O13">
        <f>O8+O11</f>
        <v>10400</v>
      </c>
    </row>
    <row r="14" spans="1:20" x14ac:dyDescent="0.2">
      <c r="A14" t="s">
        <v>5483</v>
      </c>
      <c r="E14" s="370" t="s">
        <v>485</v>
      </c>
    </row>
    <row r="15" spans="1:20" x14ac:dyDescent="0.2">
      <c r="A15" t="s">
        <v>631</v>
      </c>
      <c r="E15" t="s">
        <v>658</v>
      </c>
    </row>
    <row r="16" spans="1:20" x14ac:dyDescent="0.2">
      <c r="A16" t="s">
        <v>717</v>
      </c>
      <c r="E16" t="s">
        <v>5512</v>
      </c>
    </row>
    <row r="17" spans="1:5" x14ac:dyDescent="0.2">
      <c r="A17" t="s">
        <v>468</v>
      </c>
      <c r="E17" t="s">
        <v>5508</v>
      </c>
    </row>
    <row r="18" spans="1:5" x14ac:dyDescent="0.2">
      <c r="A18" t="s">
        <v>1109</v>
      </c>
      <c r="E18" t="s">
        <v>472</v>
      </c>
    </row>
    <row r="19" spans="1:5" x14ac:dyDescent="0.2">
      <c r="A19" t="s">
        <v>5490</v>
      </c>
    </row>
    <row r="20" spans="1:5" x14ac:dyDescent="0.2">
      <c r="A20" t="s">
        <v>547</v>
      </c>
    </row>
    <row r="21" spans="1:5" x14ac:dyDescent="0.2">
      <c r="A21" t="s">
        <v>979</v>
      </c>
    </row>
    <row r="22" spans="1:5" x14ac:dyDescent="0.2">
      <c r="A22" t="s">
        <v>403</v>
      </c>
    </row>
    <row r="23" spans="1:5" x14ac:dyDescent="0.2">
      <c r="A23" t="s">
        <v>453</v>
      </c>
    </row>
    <row r="24" spans="1:5" x14ac:dyDescent="0.2">
      <c r="A24" t="s">
        <v>388</v>
      </c>
      <c r="E24" s="368" t="s">
        <v>437</v>
      </c>
    </row>
    <row r="25" spans="1:5" x14ac:dyDescent="0.2">
      <c r="A25" t="s">
        <v>5486</v>
      </c>
      <c r="E25" s="369" t="s">
        <v>642</v>
      </c>
    </row>
    <row r="26" spans="1:5" x14ac:dyDescent="0.2">
      <c r="A26" t="s">
        <v>5488</v>
      </c>
      <c r="E26" s="368" t="s">
        <v>1154</v>
      </c>
    </row>
    <row r="27" spans="1:5" x14ac:dyDescent="0.2">
      <c r="A27" t="s">
        <v>726</v>
      </c>
      <c r="E27" s="369" t="s">
        <v>683</v>
      </c>
    </row>
    <row r="28" spans="1:5" x14ac:dyDescent="0.2">
      <c r="A28" t="s">
        <v>5489</v>
      </c>
      <c r="E28" s="368" t="s">
        <v>1214</v>
      </c>
    </row>
    <row r="29" spans="1:5" x14ac:dyDescent="0.2">
      <c r="A29" t="s">
        <v>597</v>
      </c>
      <c r="E29" s="369" t="s">
        <v>487</v>
      </c>
    </row>
    <row r="30" spans="1:5" x14ac:dyDescent="0.2">
      <c r="E30" s="368" t="s">
        <v>590</v>
      </c>
    </row>
    <row r="31" spans="1:5" x14ac:dyDescent="0.2">
      <c r="E31" s="369" t="s">
        <v>439</v>
      </c>
    </row>
    <row r="32" spans="1:5" x14ac:dyDescent="0.2">
      <c r="E32" s="368" t="s">
        <v>440</v>
      </c>
    </row>
    <row r="33" spans="5:5" x14ac:dyDescent="0.2">
      <c r="E33" s="369" t="s">
        <v>647</v>
      </c>
    </row>
    <row r="34" spans="5:5" x14ac:dyDescent="0.2">
      <c r="E34" s="368" t="s">
        <v>662</v>
      </c>
    </row>
    <row r="35" spans="5:5" x14ac:dyDescent="0.2">
      <c r="E35" s="369" t="s">
        <v>663</v>
      </c>
    </row>
    <row r="36" spans="5:5" x14ac:dyDescent="0.2">
      <c r="E36" s="368" t="s">
        <v>656</v>
      </c>
    </row>
    <row r="37" spans="5:5" x14ac:dyDescent="0.2">
      <c r="E37" s="369" t="s">
        <v>446</v>
      </c>
    </row>
    <row r="38" spans="5:5" x14ac:dyDescent="0.2">
      <c r="E38" s="368" t="s">
        <v>418</v>
      </c>
    </row>
    <row r="39" spans="5:5" x14ac:dyDescent="0.2">
      <c r="E39" s="369" t="s">
        <v>1108</v>
      </c>
    </row>
    <row r="40" spans="5:5" x14ac:dyDescent="0.2">
      <c r="E40" s="368" t="s">
        <v>1115</v>
      </c>
    </row>
    <row r="41" spans="5:5" x14ac:dyDescent="0.2">
      <c r="E41" s="369" t="s">
        <v>652</v>
      </c>
    </row>
    <row r="42" spans="5:5" x14ac:dyDescent="0.2">
      <c r="E42" s="368" t="s">
        <v>1302</v>
      </c>
    </row>
    <row r="43" spans="5:5" x14ac:dyDescent="0.2">
      <c r="E43" s="369" t="s">
        <v>450</v>
      </c>
    </row>
    <row r="44" spans="5:5" x14ac:dyDescent="0.2">
      <c r="E44" s="368" t="s">
        <v>547</v>
      </c>
    </row>
    <row r="45" spans="5:5" x14ac:dyDescent="0.2">
      <c r="E45" s="369" t="s">
        <v>1320</v>
      </c>
    </row>
    <row r="46" spans="5:5" x14ac:dyDescent="0.2">
      <c r="E46" s="368" t="s">
        <v>430</v>
      </c>
    </row>
    <row r="47" spans="5:5" x14ac:dyDescent="0.2">
      <c r="E47" s="369" t="s">
        <v>431</v>
      </c>
    </row>
    <row r="48" spans="5:5" x14ac:dyDescent="0.2">
      <c r="E48" s="368" t="s">
        <v>658</v>
      </c>
    </row>
    <row r="49" spans="5:5" x14ac:dyDescent="0.2">
      <c r="E49" s="369" t="s">
        <v>1321</v>
      </c>
    </row>
    <row r="50" spans="5:5" x14ac:dyDescent="0.2">
      <c r="E50" s="368" t="s">
        <v>1332</v>
      </c>
    </row>
    <row r="51" spans="5:5" x14ac:dyDescent="0.2">
      <c r="E51" s="369" t="s">
        <v>472</v>
      </c>
    </row>
    <row r="52" spans="5:5" x14ac:dyDescent="0.2">
      <c r="E52" s="368" t="s">
        <v>659</v>
      </c>
    </row>
    <row r="53" spans="5:5" x14ac:dyDescent="0.2">
      <c r="E53" s="369" t="s">
        <v>1156</v>
      </c>
    </row>
    <row r="54" spans="5:5" x14ac:dyDescent="0.2">
      <c r="E54" s="368"/>
    </row>
  </sheetData>
  <sortState xmlns:xlrd2="http://schemas.microsoft.com/office/spreadsheetml/2017/richdata2" ref="A1:A29">
    <sortCondition ref="A1"/>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103"/>
  <sheetViews>
    <sheetView workbookViewId="0">
      <selection activeCell="S76" sqref="S76"/>
    </sheetView>
  </sheetViews>
  <sheetFormatPr defaultColWidth="11.5703125" defaultRowHeight="11.25" x14ac:dyDescent="0.2"/>
  <cols>
    <col min="1" max="1" width="7.85546875" style="1" customWidth="1"/>
    <col min="2" max="16384" width="11.5703125" style="2"/>
  </cols>
  <sheetData>
    <row r="1" spans="1:2" x14ac:dyDescent="0.2">
      <c r="A1" s="1" t="s">
        <v>0</v>
      </c>
    </row>
    <row r="3" spans="1:2" x14ac:dyDescent="0.2">
      <c r="A3" s="1" t="s">
        <v>1</v>
      </c>
      <c r="B3" s="2" t="s">
        <v>2</v>
      </c>
    </row>
    <row r="5" spans="1:2" x14ac:dyDescent="0.2">
      <c r="A5" s="1" t="s">
        <v>3</v>
      </c>
      <c r="B5" s="3" t="s">
        <v>4</v>
      </c>
    </row>
    <row r="6" spans="1:2" x14ac:dyDescent="0.2">
      <c r="A6" s="1" t="s">
        <v>5</v>
      </c>
      <c r="B6" s="3" t="s">
        <v>6</v>
      </c>
    </row>
    <row r="7" spans="1:2" x14ac:dyDescent="0.2">
      <c r="A7" s="1" t="s">
        <v>7</v>
      </c>
      <c r="B7" s="3" t="s">
        <v>8</v>
      </c>
    </row>
    <row r="8" spans="1:2" x14ac:dyDescent="0.2">
      <c r="A8" s="1" t="s">
        <v>9</v>
      </c>
      <c r="B8" s="3" t="s">
        <v>10</v>
      </c>
    </row>
    <row r="9" spans="1:2" x14ac:dyDescent="0.2">
      <c r="A9" s="1" t="s">
        <v>11</v>
      </c>
      <c r="B9" s="3" t="s">
        <v>12</v>
      </c>
    </row>
    <row r="10" spans="1:2" x14ac:dyDescent="0.2">
      <c r="A10" s="1" t="s">
        <v>13</v>
      </c>
      <c r="B10" s="4" t="s">
        <v>14</v>
      </c>
    </row>
    <row r="11" spans="1:2" x14ac:dyDescent="0.2">
      <c r="A11" s="1" t="s">
        <v>15</v>
      </c>
      <c r="B11" s="5" t="s">
        <v>16</v>
      </c>
    </row>
    <row r="12" spans="1:2" x14ac:dyDescent="0.2">
      <c r="A12" s="1" t="s">
        <v>17</v>
      </c>
      <c r="B12" s="5" t="s">
        <v>18</v>
      </c>
    </row>
    <row r="13" spans="1:2" x14ac:dyDescent="0.2">
      <c r="A13" s="1" t="s">
        <v>19</v>
      </c>
      <c r="B13" s="4" t="s">
        <v>20</v>
      </c>
    </row>
    <row r="14" spans="1:2" x14ac:dyDescent="0.2">
      <c r="B14" s="5"/>
    </row>
    <row r="15" spans="1:2" x14ac:dyDescent="0.2">
      <c r="A15" s="1" t="s">
        <v>21</v>
      </c>
      <c r="B15" s="2" t="s">
        <v>22</v>
      </c>
    </row>
    <row r="17" spans="1:12" x14ac:dyDescent="0.2">
      <c r="A17" s="1" t="s">
        <v>23</v>
      </c>
      <c r="B17" s="2" t="s">
        <v>24</v>
      </c>
    </row>
    <row r="18" spans="1:12" x14ac:dyDescent="0.2">
      <c r="A18" s="1" t="s">
        <v>25</v>
      </c>
      <c r="B18" s="2" t="s">
        <v>26</v>
      </c>
    </row>
    <row r="19" spans="1:12" x14ac:dyDescent="0.2">
      <c r="A19" s="1" t="s">
        <v>27</v>
      </c>
      <c r="B19" s="2" t="s">
        <v>28</v>
      </c>
    </row>
    <row r="20" spans="1:12" x14ac:dyDescent="0.2">
      <c r="A20" s="1" t="s">
        <v>29</v>
      </c>
      <c r="B20" s="2" t="s">
        <v>30</v>
      </c>
    </row>
    <row r="21" spans="1:12" x14ac:dyDescent="0.2">
      <c r="A21" s="1" t="s">
        <v>31</v>
      </c>
      <c r="B21" s="2" t="s">
        <v>32</v>
      </c>
    </row>
    <row r="22" spans="1:12" x14ac:dyDescent="0.2">
      <c r="A22" s="1" t="s">
        <v>33</v>
      </c>
      <c r="B22" s="3" t="s">
        <v>34</v>
      </c>
    </row>
    <row r="24" spans="1:12" x14ac:dyDescent="0.2">
      <c r="A24" s="1" t="s">
        <v>35</v>
      </c>
      <c r="B24" s="2" t="s">
        <v>36</v>
      </c>
    </row>
    <row r="25" spans="1:12" x14ac:dyDescent="0.2">
      <c r="A25" s="6" t="s">
        <v>37</v>
      </c>
      <c r="B25" s="7" t="s">
        <v>38</v>
      </c>
      <c r="C25" s="7"/>
      <c r="D25" s="7"/>
      <c r="E25" s="7"/>
      <c r="F25" s="7"/>
      <c r="G25" s="7"/>
      <c r="H25" s="7"/>
      <c r="I25" s="7"/>
      <c r="J25" s="7"/>
      <c r="K25" s="7"/>
      <c r="L25" s="7"/>
    </row>
    <row r="26" spans="1:12" x14ac:dyDescent="0.2">
      <c r="A26" s="1" t="s">
        <v>39</v>
      </c>
      <c r="B26" s="2" t="s">
        <v>40</v>
      </c>
    </row>
    <row r="27" spans="1:12" x14ac:dyDescent="0.2">
      <c r="A27" s="1" t="s">
        <v>41</v>
      </c>
      <c r="B27" s="2" t="s">
        <v>42</v>
      </c>
    </row>
    <row r="28" spans="1:12" x14ac:dyDescent="0.2">
      <c r="A28" s="1" t="s">
        <v>43</v>
      </c>
      <c r="B28" s="2" t="s">
        <v>44</v>
      </c>
    </row>
    <row r="30" spans="1:12" x14ac:dyDescent="0.2">
      <c r="A30" s="1" t="s">
        <v>45</v>
      </c>
      <c r="B30" s="3" t="s">
        <v>46</v>
      </c>
    </row>
    <row r="31" spans="1:12" x14ac:dyDescent="0.2">
      <c r="A31" s="1" t="s">
        <v>47</v>
      </c>
      <c r="B31" s="2" t="s">
        <v>48</v>
      </c>
    </row>
    <row r="32" spans="1:12" x14ac:dyDescent="0.2">
      <c r="A32" s="1" t="s">
        <v>49</v>
      </c>
      <c r="B32" s="2" t="s">
        <v>50</v>
      </c>
    </row>
    <row r="33" spans="1:2" x14ac:dyDescent="0.2">
      <c r="A33" s="1" t="s">
        <v>51</v>
      </c>
      <c r="B33" s="2" t="s">
        <v>52</v>
      </c>
    </row>
    <row r="34" spans="1:2" x14ac:dyDescent="0.2">
      <c r="A34" s="1" t="s">
        <v>53</v>
      </c>
      <c r="B34" s="3" t="s">
        <v>54</v>
      </c>
    </row>
    <row r="35" spans="1:2" x14ac:dyDescent="0.2">
      <c r="A35" s="1" t="s">
        <v>55</v>
      </c>
      <c r="B35" s="2" t="s">
        <v>56</v>
      </c>
    </row>
    <row r="36" spans="1:2" x14ac:dyDescent="0.2">
      <c r="A36" s="1" t="s">
        <v>57</v>
      </c>
      <c r="B36" s="2" t="s">
        <v>58</v>
      </c>
    </row>
    <row r="37" spans="1:2" x14ac:dyDescent="0.2">
      <c r="A37" s="1" t="s">
        <v>59</v>
      </c>
      <c r="B37" s="2" t="s">
        <v>60</v>
      </c>
    </row>
    <row r="38" spans="1:2" x14ac:dyDescent="0.2">
      <c r="A38" s="1" t="s">
        <v>61</v>
      </c>
      <c r="B38" s="2" t="s">
        <v>62</v>
      </c>
    </row>
    <row r="39" spans="1:2" x14ac:dyDescent="0.2">
      <c r="A39" s="1" t="s">
        <v>63</v>
      </c>
      <c r="B39" s="2" t="s">
        <v>64</v>
      </c>
    </row>
    <row r="41" spans="1:2" x14ac:dyDescent="0.2">
      <c r="A41" s="1" t="s">
        <v>65</v>
      </c>
      <c r="B41" s="2" t="s">
        <v>66</v>
      </c>
    </row>
    <row r="42" spans="1:2" x14ac:dyDescent="0.2">
      <c r="A42" s="1" t="s">
        <v>67</v>
      </c>
      <c r="B42" s="3" t="s">
        <v>68</v>
      </c>
    </row>
    <row r="43" spans="1:2" x14ac:dyDescent="0.2">
      <c r="A43" s="1" t="s">
        <v>69</v>
      </c>
      <c r="B43" s="8" t="s">
        <v>70</v>
      </c>
    </row>
    <row r="44" spans="1:2" x14ac:dyDescent="0.2">
      <c r="A44" s="1" t="s">
        <v>71</v>
      </c>
      <c r="B44" s="9" t="s">
        <v>72</v>
      </c>
    </row>
    <row r="46" spans="1:2" x14ac:dyDescent="0.2">
      <c r="A46" s="1" t="s">
        <v>73</v>
      </c>
      <c r="B46" s="2" t="s">
        <v>74</v>
      </c>
    </row>
    <row r="48" spans="1:2" x14ac:dyDescent="0.2">
      <c r="A48" s="1" t="s">
        <v>75</v>
      </c>
      <c r="B48" s="2" t="s">
        <v>76</v>
      </c>
    </row>
    <row r="49" spans="1:2" x14ac:dyDescent="0.2">
      <c r="A49" s="1" t="s">
        <v>77</v>
      </c>
      <c r="B49" s="2" t="s">
        <v>78</v>
      </c>
    </row>
    <row r="50" spans="1:2" x14ac:dyDescent="0.2">
      <c r="A50" s="1" t="s">
        <v>79</v>
      </c>
      <c r="B50" s="2" t="s">
        <v>80</v>
      </c>
    </row>
    <row r="51" spans="1:2" x14ac:dyDescent="0.2">
      <c r="A51" s="1" t="s">
        <v>81</v>
      </c>
      <c r="B51" s="3" t="s">
        <v>82</v>
      </c>
    </row>
    <row r="52" spans="1:2" x14ac:dyDescent="0.2">
      <c r="A52" s="1" t="s">
        <v>83</v>
      </c>
      <c r="B52" s="3" t="s">
        <v>84</v>
      </c>
    </row>
    <row r="53" spans="1:2" x14ac:dyDescent="0.2">
      <c r="A53" s="1" t="s">
        <v>85</v>
      </c>
      <c r="B53" s="10" t="s">
        <v>86</v>
      </c>
    </row>
    <row r="54" spans="1:2" x14ac:dyDescent="0.2">
      <c r="A54" s="1" t="s">
        <v>87</v>
      </c>
      <c r="B54" s="3" t="s">
        <v>88</v>
      </c>
    </row>
    <row r="55" spans="1:2" x14ac:dyDescent="0.2">
      <c r="A55" s="1" t="s">
        <v>89</v>
      </c>
      <c r="B55" s="3" t="s">
        <v>90</v>
      </c>
    </row>
    <row r="56" spans="1:2" x14ac:dyDescent="0.2">
      <c r="A56" s="1" t="s">
        <v>91</v>
      </c>
      <c r="B56" s="2" t="s">
        <v>92</v>
      </c>
    </row>
    <row r="57" spans="1:2" x14ac:dyDescent="0.2">
      <c r="A57" s="1" t="s">
        <v>93</v>
      </c>
      <c r="B57" s="2" t="s">
        <v>94</v>
      </c>
    </row>
    <row r="58" spans="1:2" x14ac:dyDescent="0.2">
      <c r="A58" s="1" t="s">
        <v>95</v>
      </c>
      <c r="B58" s="2" t="s">
        <v>96</v>
      </c>
    </row>
    <row r="59" spans="1:2" x14ac:dyDescent="0.2">
      <c r="A59" s="1" t="s">
        <v>97</v>
      </c>
      <c r="B59" s="3" t="s">
        <v>98</v>
      </c>
    </row>
    <row r="60" spans="1:2" x14ac:dyDescent="0.2">
      <c r="A60" s="1" t="s">
        <v>99</v>
      </c>
      <c r="B60" s="3" t="s">
        <v>100</v>
      </c>
    </row>
    <row r="61" spans="1:2" x14ac:dyDescent="0.2">
      <c r="A61" s="1" t="s">
        <v>101</v>
      </c>
      <c r="B61" s="2" t="s">
        <v>102</v>
      </c>
    </row>
    <row r="62" spans="1:2" x14ac:dyDescent="0.2">
      <c r="A62" s="1" t="s">
        <v>103</v>
      </c>
      <c r="B62" s="2" t="s">
        <v>104</v>
      </c>
    </row>
    <row r="63" spans="1:2" x14ac:dyDescent="0.2">
      <c r="A63" s="1" t="s">
        <v>105</v>
      </c>
      <c r="B63" s="3" t="s">
        <v>106</v>
      </c>
    </row>
    <row r="64" spans="1:2" x14ac:dyDescent="0.2">
      <c r="A64" s="1" t="s">
        <v>107</v>
      </c>
      <c r="B64" s="2" t="s">
        <v>108</v>
      </c>
    </row>
    <row r="65" spans="1:17" x14ac:dyDescent="0.2">
      <c r="A65" s="1" t="s">
        <v>109</v>
      </c>
      <c r="B65" s="2" t="s">
        <v>110</v>
      </c>
    </row>
    <row r="66" spans="1:17" x14ac:dyDescent="0.2">
      <c r="A66" s="1" t="s">
        <v>111</v>
      </c>
      <c r="B66" s="2" t="s">
        <v>112</v>
      </c>
    </row>
    <row r="67" spans="1:17" x14ac:dyDescent="0.2">
      <c r="A67" s="1" t="s">
        <v>113</v>
      </c>
      <c r="B67" s="2" t="s">
        <v>114</v>
      </c>
    </row>
    <row r="68" spans="1:17" x14ac:dyDescent="0.2">
      <c r="A68" s="1" t="s">
        <v>115</v>
      </c>
      <c r="B68" s="2" t="s">
        <v>116</v>
      </c>
    </row>
    <row r="69" spans="1:17" x14ac:dyDescent="0.2">
      <c r="A69" s="1" t="s">
        <v>117</v>
      </c>
      <c r="B69" s="2" t="s">
        <v>118</v>
      </c>
    </row>
    <row r="70" spans="1:17" x14ac:dyDescent="0.2">
      <c r="A70" s="1" t="s">
        <v>119</v>
      </c>
      <c r="B70" s="2" t="s">
        <v>120</v>
      </c>
    </row>
    <row r="71" spans="1:17" x14ac:dyDescent="0.2">
      <c r="A71" s="1" t="s">
        <v>121</v>
      </c>
      <c r="B71" s="2" t="s">
        <v>122</v>
      </c>
    </row>
    <row r="72" spans="1:17" x14ac:dyDescent="0.2">
      <c r="A72" s="1" t="s">
        <v>123</v>
      </c>
      <c r="B72" s="2" t="s">
        <v>124</v>
      </c>
    </row>
    <row r="73" spans="1:17" x14ac:dyDescent="0.2">
      <c r="A73" s="1" t="s">
        <v>125</v>
      </c>
      <c r="B73" s="2" t="s">
        <v>126</v>
      </c>
    </row>
    <row r="74" spans="1:17" x14ac:dyDescent="0.2">
      <c r="A74" s="1" t="s">
        <v>127</v>
      </c>
      <c r="B74" s="2" t="s">
        <v>128</v>
      </c>
    </row>
    <row r="75" spans="1:17" ht="12.75" x14ac:dyDescent="0.2">
      <c r="Q75"/>
    </row>
    <row r="76" spans="1:17" x14ac:dyDescent="0.2">
      <c r="A76" s="1" t="s">
        <v>129</v>
      </c>
      <c r="B76" s="2" t="s">
        <v>130</v>
      </c>
    </row>
    <row r="78" spans="1:17" x14ac:dyDescent="0.2">
      <c r="A78" s="1" t="s">
        <v>131</v>
      </c>
      <c r="B78" s="2" t="s">
        <v>132</v>
      </c>
    </row>
    <row r="80" spans="1:17" x14ac:dyDescent="0.2">
      <c r="A80" s="1" t="s">
        <v>133</v>
      </c>
      <c r="B80" s="3" t="s">
        <v>134</v>
      </c>
    </row>
    <row r="82" spans="1:2" x14ac:dyDescent="0.2">
      <c r="A82" s="1" t="s">
        <v>135</v>
      </c>
      <c r="B82" s="2" t="s">
        <v>136</v>
      </c>
    </row>
    <row r="83" spans="1:2" x14ac:dyDescent="0.2">
      <c r="A83" s="1" t="s">
        <v>137</v>
      </c>
      <c r="B83" s="2" t="s">
        <v>138</v>
      </c>
    </row>
    <row r="84" spans="1:2" x14ac:dyDescent="0.2">
      <c r="A84" s="1" t="s">
        <v>139</v>
      </c>
      <c r="B84" s="2" t="s">
        <v>140</v>
      </c>
    </row>
    <row r="86" spans="1:2" x14ac:dyDescent="0.2">
      <c r="A86" s="1" t="s">
        <v>141</v>
      </c>
      <c r="B86" s="3" t="s">
        <v>142</v>
      </c>
    </row>
    <row r="88" spans="1:2" x14ac:dyDescent="0.2">
      <c r="A88" s="1" t="s">
        <v>143</v>
      </c>
      <c r="B88" s="2" t="s">
        <v>144</v>
      </c>
    </row>
    <row r="90" spans="1:2" x14ac:dyDescent="0.2">
      <c r="A90" s="1" t="s">
        <v>145</v>
      </c>
      <c r="B90" s="2" t="s">
        <v>146</v>
      </c>
    </row>
    <row r="91" spans="1:2" x14ac:dyDescent="0.2">
      <c r="A91" s="1" t="s">
        <v>147</v>
      </c>
      <c r="B91" s="2" t="s">
        <v>148</v>
      </c>
    </row>
    <row r="92" spans="1:2" x14ac:dyDescent="0.2">
      <c r="A92" s="1" t="s">
        <v>149</v>
      </c>
      <c r="B92" s="2" t="s">
        <v>150</v>
      </c>
    </row>
    <row r="93" spans="1:2" x14ac:dyDescent="0.2">
      <c r="A93" s="1" t="s">
        <v>151</v>
      </c>
      <c r="B93" s="2" t="s">
        <v>152</v>
      </c>
    </row>
    <row r="94" spans="1:2" x14ac:dyDescent="0.2">
      <c r="A94" s="1" t="s">
        <v>153</v>
      </c>
      <c r="B94" s="2" t="s">
        <v>154</v>
      </c>
    </row>
    <row r="95" spans="1:2" x14ac:dyDescent="0.2">
      <c r="A95" s="1" t="s">
        <v>155</v>
      </c>
      <c r="B95" s="2" t="s">
        <v>156</v>
      </c>
    </row>
    <row r="96" spans="1:2" x14ac:dyDescent="0.2">
      <c r="A96" s="1" t="s">
        <v>157</v>
      </c>
      <c r="B96" s="2" t="s">
        <v>158</v>
      </c>
    </row>
    <row r="97" spans="1:2" x14ac:dyDescent="0.2">
      <c r="A97" s="1" t="s">
        <v>159</v>
      </c>
      <c r="B97" s="2" t="s">
        <v>160</v>
      </c>
    </row>
    <row r="98" spans="1:2" x14ac:dyDescent="0.2">
      <c r="A98" s="1" t="s">
        <v>161</v>
      </c>
      <c r="B98" s="2" t="s">
        <v>162</v>
      </c>
    </row>
    <row r="100" spans="1:2" x14ac:dyDescent="0.2">
      <c r="A100" s="1" t="s">
        <v>163</v>
      </c>
      <c r="B100" s="2" t="s">
        <v>164</v>
      </c>
    </row>
    <row r="101" spans="1:2" x14ac:dyDescent="0.2">
      <c r="A101" s="1" t="s">
        <v>165</v>
      </c>
      <c r="B101" s="2" t="s">
        <v>166</v>
      </c>
    </row>
    <row r="102" spans="1:2" x14ac:dyDescent="0.2">
      <c r="A102" s="1" t="s">
        <v>167</v>
      </c>
      <c r="B102" s="2" t="s">
        <v>168</v>
      </c>
    </row>
    <row r="103" spans="1:2" x14ac:dyDescent="0.2">
      <c r="A103" s="1" t="s">
        <v>169</v>
      </c>
      <c r="B103" s="2" t="s">
        <v>170</v>
      </c>
    </row>
  </sheetData>
  <sheetProtection selectLockedCells="1" selectUnlockedCells="1"/>
  <hyperlinks>
    <hyperlink ref="B11" r:id="rId1" xr:uid="{00000000-0004-0000-0100-000000000000}"/>
    <hyperlink ref="B12" r:id="rId2" xr:uid="{00000000-0004-0000-0100-000001000000}"/>
    <hyperlink ref="B53" r:id="rId3" xr:uid="{00000000-0004-0000-0100-000002000000}"/>
  </hyperlinks>
  <pageMargins left="0.19652777777777777" right="0.19652777777777777" top="0.19652777777777777" bottom="7.8472222222222221E-2" header="0" footer="0"/>
  <pageSetup paperSize="9" firstPageNumber="0" orientation="portrait" horizontalDpi="300" verticalDpi="300"/>
  <headerFooter alignWithMargins="0">
    <oddHeader>&amp;C&amp;"Times New Roman,Normaali"&amp;12&amp;A</oddHeader>
    <oddFooter>&amp;C&amp;"Times New Roman,Normaali"&amp;12Sivu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Y251"/>
  <sheetViews>
    <sheetView zoomScaleNormal="100" workbookViewId="0">
      <selection activeCell="M2" sqref="M2"/>
    </sheetView>
  </sheetViews>
  <sheetFormatPr defaultColWidth="9" defaultRowHeight="13.35" customHeight="1" x14ac:dyDescent="0.2"/>
  <cols>
    <col min="1" max="1" width="11.5703125" style="181" customWidth="1"/>
    <col min="2" max="2" width="4.85546875" style="80" customWidth="1"/>
    <col min="3" max="5" width="10.7109375" style="80" customWidth="1"/>
    <col min="6" max="6" width="10.28515625" style="80" customWidth="1"/>
    <col min="7" max="9" width="10.7109375" style="80" customWidth="1"/>
    <col min="10" max="10" width="9" style="80"/>
    <col min="11" max="11" width="29.42578125" style="80" customWidth="1"/>
    <col min="12" max="12" width="8.85546875" style="80" customWidth="1"/>
    <col min="13" max="13" width="23.85546875" style="80" customWidth="1"/>
    <col min="14" max="14" width="14.5703125" style="80" customWidth="1"/>
    <col min="15" max="15" width="0" style="207" hidden="1" customWidth="1"/>
    <col min="16" max="16" width="0" style="80" hidden="1" customWidth="1"/>
    <col min="17" max="18" width="9" style="80"/>
    <col min="19" max="19" width="9.7109375" style="80" customWidth="1"/>
    <col min="20" max="20" width="6.85546875" style="80" customWidth="1"/>
    <col min="21" max="21" width="9" style="80"/>
    <col min="22" max="22" width="65" style="80" bestFit="1" customWidth="1"/>
    <col min="23" max="23" width="13.5703125" style="80" customWidth="1"/>
    <col min="24" max="16384" width="9" style="80"/>
  </cols>
  <sheetData>
    <row r="1" spans="1:24" ht="13.35" customHeight="1" x14ac:dyDescent="0.2">
      <c r="A1" s="103" t="s">
        <v>171</v>
      </c>
      <c r="B1" s="382" t="s">
        <v>4020</v>
      </c>
      <c r="C1" s="382"/>
      <c r="D1" s="103" t="s">
        <v>189</v>
      </c>
      <c r="E1" s="104">
        <v>50</v>
      </c>
      <c r="F1" s="105" t="s">
        <v>173</v>
      </c>
      <c r="G1" s="106" t="s">
        <v>174</v>
      </c>
      <c r="H1" s="106" t="s">
        <v>173</v>
      </c>
      <c r="I1" s="106" t="s">
        <v>175</v>
      </c>
      <c r="K1" s="107" t="s">
        <v>4048</v>
      </c>
      <c r="L1" s="108"/>
      <c r="M1" s="109" t="str">
        <f>VLOOKUP(M2,Taulukko1[[#All],[Race]:[Main Race2]],23,FALSE)</f>
        <v>Human</v>
      </c>
      <c r="N1" s="80" t="s">
        <v>4248</v>
      </c>
      <c r="O1" s="80"/>
      <c r="S1" s="398" t="s">
        <v>5011</v>
      </c>
      <c r="T1" s="399"/>
      <c r="U1" s="399"/>
      <c r="V1" s="400"/>
      <c r="W1" s="380" t="s">
        <v>5012</v>
      </c>
    </row>
    <row r="2" spans="1:24" ht="13.35" customHeight="1" x14ac:dyDescent="0.2">
      <c r="A2" s="103" t="s">
        <v>176</v>
      </c>
      <c r="B2" s="383" t="str">
        <f>M2</f>
        <v>Rashemi</v>
      </c>
      <c r="C2" s="383"/>
      <c r="D2" s="103" t="s">
        <v>193</v>
      </c>
      <c r="E2" s="104">
        <v>12</v>
      </c>
      <c r="F2" s="110" t="str">
        <f>Skills!B95</f>
        <v>Common</v>
      </c>
      <c r="G2" s="111">
        <f>Skills!E95</f>
        <v>7</v>
      </c>
      <c r="H2" s="110" t="str">
        <f>Skills!B96</f>
        <v>Common</v>
      </c>
      <c r="I2" s="111">
        <f>Skills!E96</f>
        <v>7</v>
      </c>
      <c r="J2" s="112"/>
      <c r="K2" s="113" t="s">
        <v>4651</v>
      </c>
      <c r="L2" s="114"/>
      <c r="M2" s="115" t="s">
        <v>4060</v>
      </c>
      <c r="N2" s="80" t="str">
        <f>VLOOKUP(M2,Professions!A263:B300,2,FALSE)</f>
        <v>http://forgottenrealms.wikia.com/wiki/Rashemi</v>
      </c>
      <c r="O2" s="80"/>
      <c r="S2" s="401"/>
      <c r="T2" s="393"/>
      <c r="U2" s="393"/>
      <c r="V2" s="402"/>
      <c r="W2" s="381"/>
      <c r="X2" s="77"/>
    </row>
    <row r="3" spans="1:24" ht="13.35" customHeight="1" x14ac:dyDescent="0.2">
      <c r="A3" s="103" t="s">
        <v>178</v>
      </c>
      <c r="B3" s="116">
        <f>VLOOKUP(L7,HW!G4:BT31,HW!C42)</f>
        <v>1.7540000000000004</v>
      </c>
      <c r="C3" s="117" t="str">
        <f>"m"&amp;", " &amp; HW!B135</f>
        <v>m, medium</v>
      </c>
      <c r="D3" s="118" t="s">
        <v>180</v>
      </c>
      <c r="E3" s="119">
        <f>B4/(B3*B3)</f>
        <v>31.105694804119747</v>
      </c>
      <c r="F3" s="110" t="str">
        <f>Skills!B97</f>
        <v>Rashemi</v>
      </c>
      <c r="G3" s="111">
        <f>Skills!E97</f>
        <v>8</v>
      </c>
      <c r="H3" s="110" t="str">
        <f>Skills!B98</f>
        <v>Rashemi</v>
      </c>
      <c r="I3" s="111">
        <f>Skills!E98</f>
        <v>8</v>
      </c>
      <c r="K3" s="113" t="s">
        <v>4013</v>
      </c>
      <c r="L3" s="112"/>
      <c r="M3" s="120" t="s">
        <v>181</v>
      </c>
      <c r="O3" s="80"/>
      <c r="S3" s="401"/>
      <c r="T3" s="393"/>
      <c r="U3" s="393"/>
      <c r="V3" s="402"/>
      <c r="W3" s="381"/>
      <c r="X3" s="77"/>
    </row>
    <row r="4" spans="1:24" ht="13.35" customHeight="1" x14ac:dyDescent="0.2">
      <c r="A4" s="103" t="s">
        <v>182</v>
      </c>
      <c r="B4" s="121">
        <f>$B$3*HW!$B$34+HW!$B$36</f>
        <v>95.697167755991316</v>
      </c>
      <c r="C4" s="117" t="str">
        <f>"kg"&amp;", " &amp; HW!A135</f>
        <v>kg, medium</v>
      </c>
      <c r="D4" s="118" t="s">
        <v>184</v>
      </c>
      <c r="E4" s="122" t="str">
        <f>VLOOKUP(E3,HW!A3:B9,2)</f>
        <v>Overweight</v>
      </c>
      <c r="F4" s="110" t="str">
        <f>Skills!B99</f>
        <v>Extra Language</v>
      </c>
      <c r="G4" s="111">
        <f>Skills!E99</f>
        <v>7</v>
      </c>
      <c r="H4" s="110" t="str">
        <f>Skills!B100</f>
        <v>Extra Language</v>
      </c>
      <c r="I4" s="111">
        <f>Skills!E100</f>
        <v>7</v>
      </c>
      <c r="K4" s="123" t="s">
        <v>4014</v>
      </c>
      <c r="L4" s="124"/>
      <c r="M4" s="125" t="s">
        <v>763</v>
      </c>
      <c r="N4" s="126"/>
      <c r="O4" s="80"/>
      <c r="S4" s="127" t="s">
        <v>4941</v>
      </c>
      <c r="T4" s="128">
        <v>56</v>
      </c>
      <c r="U4" s="129" t="s">
        <v>4938</v>
      </c>
      <c r="V4" s="130" t="str">
        <f>IF(T4="","",VLOOKUP(T4,TF!$I$2:$J$101,2,FALSE))</f>
        <v xml:space="preserve">Quiet, Reserved --- Flamboyant, Boisterous, Loud  </v>
      </c>
      <c r="W4" s="131">
        <v>71</v>
      </c>
      <c r="X4" s="77"/>
    </row>
    <row r="5" spans="1:24" ht="13.35" customHeight="1" x14ac:dyDescent="0.2">
      <c r="A5" s="103" t="s">
        <v>4011</v>
      </c>
      <c r="B5" s="132" t="str">
        <f>M3</f>
        <v>Sorcerer</v>
      </c>
      <c r="C5" s="133"/>
      <c r="D5" s="134" t="str">
        <f>HLOOKUP($B$5,Professions!$F$117:$DD$119,3,0)</f>
        <v>EM/IN/SD</v>
      </c>
      <c r="E5" s="122"/>
      <c r="F5" s="110">
        <f>Skills!B101</f>
        <v>0</v>
      </c>
      <c r="G5" s="111">
        <f>Skills!E101</f>
        <v>0</v>
      </c>
      <c r="H5" s="110">
        <f>Skills!B102</f>
        <v>0</v>
      </c>
      <c r="I5" s="111">
        <f>Skills!E102</f>
        <v>0</v>
      </c>
      <c r="K5" s="345" t="s">
        <v>185</v>
      </c>
      <c r="L5" s="161">
        <f>VLOOKUP($B$2,Taulukko1[[#All],[Race]:[Tot. Stat Points]],20,0)</f>
        <v>50</v>
      </c>
      <c r="M5" s="346"/>
      <c r="O5" s="80"/>
      <c r="S5" s="127" t="s">
        <v>4941</v>
      </c>
      <c r="T5" s="128">
        <v>53</v>
      </c>
      <c r="U5" s="129" t="s">
        <v>4939</v>
      </c>
      <c r="V5" s="130" t="str">
        <f>IF(T5="","",VLOOKUP(T5,TF!$I$2:$J$101,2,FALSE))</f>
        <v xml:space="preserve">Continent, Chaste --- Lustful, Licentious, Lecherous  </v>
      </c>
      <c r="W5" s="131">
        <v>31</v>
      </c>
    </row>
    <row r="6" spans="1:24" ht="13.35" customHeight="1" x14ac:dyDescent="0.2">
      <c r="A6" s="103" t="s">
        <v>4012</v>
      </c>
      <c r="B6" s="132" t="str">
        <f>IF(M4="","",M4)</f>
        <v>Fighter</v>
      </c>
      <c r="C6" s="133"/>
      <c r="D6" s="134" t="str">
        <f>IF(B6="","",HLOOKUP($B$6,Professions!$F$117:$DD$119,3,0))</f>
        <v>ST/CO</v>
      </c>
      <c r="E6" s="122"/>
      <c r="F6" s="110">
        <f>Skills!B103</f>
        <v>0</v>
      </c>
      <c r="G6" s="111">
        <f>Skills!E103</f>
        <v>0</v>
      </c>
      <c r="H6" s="110">
        <f>Skills!B104</f>
        <v>0</v>
      </c>
      <c r="I6" s="111">
        <f>Skills!E104</f>
        <v>0</v>
      </c>
      <c r="L6" s="112"/>
      <c r="M6" s="135"/>
      <c r="O6" s="80"/>
      <c r="S6" s="127" t="s">
        <v>4941</v>
      </c>
      <c r="T6" s="128">
        <v>46</v>
      </c>
      <c r="U6" s="129" t="s">
        <v>4940</v>
      </c>
      <c r="V6" s="130" t="str">
        <f>IF(T6="","",VLOOKUP(T6,TF!$I$2:$J$101,2,FALSE))</f>
        <v xml:space="preserve">Quixotic, Idealistic --- Practical, Pragmatic, Cynical  </v>
      </c>
      <c r="W6" s="131">
        <v>81</v>
      </c>
    </row>
    <row r="7" spans="1:24" ht="13.35" customHeight="1" thickBot="1" x14ac:dyDescent="0.25">
      <c r="A7" s="103" t="s">
        <v>4304</v>
      </c>
      <c r="B7" s="136">
        <f>IF(B6="",VLOOKUP(C7,Professions!FH2:FI102,2),VLOOKUP(C7,Professions!FH2:FI102,2)/2)</f>
        <v>2.5</v>
      </c>
      <c r="C7" s="137">
        <v>55533</v>
      </c>
      <c r="D7" s="138" t="s">
        <v>186</v>
      </c>
      <c r="E7" s="122" t="s">
        <v>1876</v>
      </c>
      <c r="F7" s="110">
        <f>Skills!B105</f>
        <v>0</v>
      </c>
      <c r="G7" s="111">
        <f>Skills!E105</f>
        <v>0</v>
      </c>
      <c r="H7" s="110">
        <f>Skills!B106</f>
        <v>0</v>
      </c>
      <c r="I7" s="111">
        <f>Skills!E106</f>
        <v>0</v>
      </c>
      <c r="K7" s="139" t="s">
        <v>187</v>
      </c>
      <c r="L7" s="140">
        <v>94</v>
      </c>
      <c r="M7" s="141" t="s">
        <v>188</v>
      </c>
      <c r="O7" s="80"/>
      <c r="S7" s="142" t="s">
        <v>4941</v>
      </c>
      <c r="T7" s="143"/>
      <c r="U7" s="144" t="s">
        <v>5008</v>
      </c>
      <c r="V7" s="145" t="str">
        <f>IF(T7="","",VLOOKUP(T7,TF!$I$2:$J$101,2,FALSE))</f>
        <v/>
      </c>
      <c r="W7" s="146"/>
      <c r="X7" s="77"/>
    </row>
    <row r="8" spans="1:24" ht="13.35" customHeight="1" thickBot="1" x14ac:dyDescent="0.25">
      <c r="A8" s="103" t="s">
        <v>4305</v>
      </c>
      <c r="B8" s="136">
        <f>IF(B6="","",VLOOKUP(C7,Professions!FH3:FI103,2)/2-0.5)</f>
        <v>2</v>
      </c>
      <c r="C8" s="137">
        <f>IF(B6="","",VLOOKUP((B7+B8+1.5),Professions!FI1:FJ102,2)-C7)</f>
        <v>14467</v>
      </c>
      <c r="D8" s="138" t="s">
        <v>190</v>
      </c>
      <c r="E8" s="122" t="s">
        <v>1921</v>
      </c>
      <c r="F8" s="110"/>
      <c r="G8" s="111"/>
      <c r="H8" s="147"/>
      <c r="I8" s="148"/>
      <c r="K8" s="149" t="s">
        <v>191</v>
      </c>
      <c r="L8" s="150">
        <v>100</v>
      </c>
      <c r="M8" s="151" t="s">
        <v>192</v>
      </c>
      <c r="O8" s="80"/>
      <c r="W8" s="152"/>
    </row>
    <row r="9" spans="1:24" ht="13.35" customHeight="1" x14ac:dyDescent="0.2">
      <c r="A9" s="103" t="s">
        <v>196</v>
      </c>
      <c r="B9" s="104">
        <f>VLOOKUP($B$2,Taulukko1[[Race]:[Main Race2]],19,0)</f>
        <v>0.9</v>
      </c>
      <c r="C9" s="111" t="s">
        <v>197</v>
      </c>
      <c r="D9" s="138" t="s">
        <v>194</v>
      </c>
      <c r="E9" s="122" t="s">
        <v>1896</v>
      </c>
      <c r="F9" s="110"/>
      <c r="G9" s="153"/>
      <c r="H9" s="154"/>
      <c r="I9" s="155"/>
      <c r="K9" s="156" t="s">
        <v>195</v>
      </c>
      <c r="L9" s="157">
        <v>89</v>
      </c>
      <c r="M9" s="158" t="s">
        <v>192</v>
      </c>
      <c r="O9" s="80"/>
      <c r="S9" s="398" t="s">
        <v>5007</v>
      </c>
      <c r="T9" s="399"/>
      <c r="U9" s="399"/>
      <c r="V9" s="400"/>
      <c r="W9" s="380" t="s">
        <v>5012</v>
      </c>
    </row>
    <row r="10" spans="1:24" ht="13.35" customHeight="1" x14ac:dyDescent="0.2">
      <c r="A10" s="159" t="s">
        <v>198</v>
      </c>
      <c r="B10" s="384" t="s">
        <v>1936</v>
      </c>
      <c r="C10" s="385"/>
      <c r="D10" s="386" t="str">
        <f>VLOOKUP($B$10,Professions!$B$252:$D$260,2,0)</f>
        <v>Path of Liberty: Universalism and Self-Direction</v>
      </c>
      <c r="E10" s="387"/>
      <c r="F10" s="387"/>
      <c r="G10" s="387"/>
      <c r="H10" s="387"/>
      <c r="I10" s="388"/>
      <c r="O10" s="80"/>
      <c r="S10" s="403"/>
      <c r="T10" s="396"/>
      <c r="U10" s="396"/>
      <c r="V10" s="404"/>
      <c r="W10" s="381"/>
      <c r="X10" s="77"/>
    </row>
    <row r="11" spans="1:24" ht="13.35" customHeight="1" x14ac:dyDescent="0.2">
      <c r="A11" s="160"/>
      <c r="B11" s="161"/>
      <c r="C11" s="129"/>
      <c r="D11" s="129"/>
      <c r="E11" s="129"/>
      <c r="F11" s="129"/>
      <c r="G11" s="129"/>
      <c r="H11" s="161"/>
      <c r="I11" s="162"/>
      <c r="K11" s="79"/>
      <c r="O11" s="80"/>
      <c r="S11" s="127" t="s">
        <v>4941</v>
      </c>
      <c r="T11" s="128">
        <v>35</v>
      </c>
      <c r="U11" s="129" t="s">
        <v>4938</v>
      </c>
      <c r="V11" s="130" t="str">
        <f>IF(T11="","",VLOOKUP(T11,TF!$K$1:$L$103,2,FALSE))</f>
        <v>Protect: individual, family, clan, ruler, country, race/culture, population center, guild, “the weak,” etc.</v>
      </c>
      <c r="W11" s="131">
        <v>85</v>
      </c>
      <c r="X11" s="77"/>
    </row>
    <row r="12" spans="1:24" ht="13.35" customHeight="1" x14ac:dyDescent="0.2">
      <c r="A12" s="163" t="s">
        <v>200</v>
      </c>
      <c r="B12" s="163"/>
      <c r="C12" s="164" t="s">
        <v>201</v>
      </c>
      <c r="D12" s="164" t="s">
        <v>202</v>
      </c>
      <c r="E12" s="164" t="s">
        <v>203</v>
      </c>
      <c r="F12" s="164" t="s">
        <v>204</v>
      </c>
      <c r="G12" s="164" t="s">
        <v>205</v>
      </c>
      <c r="H12" s="164" t="s">
        <v>206</v>
      </c>
      <c r="I12" s="164" t="s">
        <v>207</v>
      </c>
      <c r="J12" s="165" t="s">
        <v>208</v>
      </c>
      <c r="K12" s="166" t="s">
        <v>209</v>
      </c>
      <c r="L12" s="167" t="s">
        <v>210</v>
      </c>
      <c r="M12" s="167" t="s">
        <v>211</v>
      </c>
      <c r="N12" s="168" t="s">
        <v>212</v>
      </c>
      <c r="O12" s="169" t="s">
        <v>213</v>
      </c>
      <c r="P12" s="141" t="s">
        <v>214</v>
      </c>
      <c r="Q12" s="80" t="s">
        <v>4311</v>
      </c>
      <c r="S12" s="127" t="s">
        <v>4941</v>
      </c>
      <c r="T12" s="128">
        <v>24</v>
      </c>
      <c r="U12" s="129" t="s">
        <v>4939</v>
      </c>
      <c r="V12" s="130" t="str">
        <f>IF(T12="","",VLOOKUP(T12,TF!$K$1:$L$103,2,FALSE))</f>
        <v>Revenge against: individual, family, clan, race/culture, population center, guild, etc.</v>
      </c>
      <c r="W12" s="131">
        <v>45</v>
      </c>
    </row>
    <row r="13" spans="1:24" ht="13.35" customHeight="1" x14ac:dyDescent="0.2">
      <c r="A13" s="170" t="s">
        <v>215</v>
      </c>
      <c r="B13" s="171" t="s">
        <v>216</v>
      </c>
      <c r="C13" s="111">
        <v>34</v>
      </c>
      <c r="D13" s="111">
        <f>VLOOKUP(Stats!C13,Professions!$A$166:$B$271,2,0)</f>
        <v>73</v>
      </c>
      <c r="E13" s="172">
        <f t="shared" ref="E13:E22" si="0">C13/9</f>
        <v>3.7777777777777777</v>
      </c>
      <c r="F13" s="111">
        <f>VLOOKUP(Stats!C13,Professions!$A$2:$C$151,2,0)</f>
        <v>0</v>
      </c>
      <c r="G13" s="111"/>
      <c r="H13" s="111">
        <f>VLOOKUP($B$2,Taulukko1[[#All],[Race]:[Tot. Stat Points]],2,0)</f>
        <v>2</v>
      </c>
      <c r="I13" s="111">
        <f t="shared" ref="I13:I22" si="1">SUM(F13:H13)</f>
        <v>2</v>
      </c>
      <c r="J13" s="173">
        <f>VLOOKUP(Stats!C13,Professions!$A$2:$C$151,3,0)</f>
        <v>34</v>
      </c>
      <c r="K13" s="174">
        <f t="shared" ref="K13:K22" si="2">IF(C13+L13&gt;D13,D13,C13+L13)</f>
        <v>39</v>
      </c>
      <c r="L13" s="175">
        <f t="shared" ref="L13:L22" si="3">IF(D13-C13=0,0,IF((D13-C13)&gt;10,IF((D13-C13)&gt;20,M13+N13,P13),O13))</f>
        <v>5</v>
      </c>
      <c r="M13" s="150">
        <v>2</v>
      </c>
      <c r="N13" s="176">
        <v>3</v>
      </c>
      <c r="O13" s="80">
        <f t="shared" ref="O13:O22" si="4">IF(M13=N13,M13+N13,SMALL(M13:N13,1))</f>
        <v>2</v>
      </c>
      <c r="P13" s="151">
        <f t="shared" ref="P13:P22" si="5">IF(M13=N13,M13+N13,LARGE(M13:N13,1))</f>
        <v>3</v>
      </c>
      <c r="Q13" s="80">
        <v>24</v>
      </c>
      <c r="S13" s="127" t="s">
        <v>4941</v>
      </c>
      <c r="T13" s="128"/>
      <c r="U13" s="129" t="s">
        <v>4940</v>
      </c>
      <c r="V13" s="130" t="str">
        <f>IF(T13="","",VLOOKUP(T13,TF!$K$1:$L$103,2,FALSE))</f>
        <v/>
      </c>
      <c r="W13" s="131"/>
    </row>
    <row r="14" spans="1:24" ht="13.35" customHeight="1" thickBot="1" x14ac:dyDescent="0.25">
      <c r="A14" s="170" t="s">
        <v>217</v>
      </c>
      <c r="B14" s="171" t="s">
        <v>218</v>
      </c>
      <c r="C14" s="111">
        <v>94</v>
      </c>
      <c r="D14" s="111">
        <f>VLOOKUP(Stats!C14,Professions!$A$166:$B$271,2,0)</f>
        <v>98</v>
      </c>
      <c r="E14" s="172">
        <f t="shared" si="0"/>
        <v>10.444444444444445</v>
      </c>
      <c r="F14" s="111">
        <f>VLOOKUP(Stats!C14,Professions!$A$2:$C$151,2,0)</f>
        <v>7</v>
      </c>
      <c r="G14" s="111"/>
      <c r="H14" s="111">
        <f>VLOOKUP($B$2,Taulukko1[[#All],[Race]:[Tot. Stat Points]],3,0)</f>
        <v>0</v>
      </c>
      <c r="I14" s="111">
        <f t="shared" si="1"/>
        <v>7</v>
      </c>
      <c r="J14" s="173">
        <f>VLOOKUP(Stats!C14,Professions!$A$2:$C$151,3,0)</f>
        <v>106</v>
      </c>
      <c r="K14" s="174">
        <f t="shared" si="2"/>
        <v>98</v>
      </c>
      <c r="L14" s="175">
        <f t="shared" si="3"/>
        <v>8</v>
      </c>
      <c r="M14" s="150">
        <v>10</v>
      </c>
      <c r="N14" s="176">
        <v>8</v>
      </c>
      <c r="O14" s="80">
        <f t="shared" si="4"/>
        <v>8</v>
      </c>
      <c r="P14" s="151">
        <f t="shared" si="5"/>
        <v>10</v>
      </c>
      <c r="Q14" s="80">
        <v>34</v>
      </c>
      <c r="S14" s="142" t="s">
        <v>4941</v>
      </c>
      <c r="T14" s="143"/>
      <c r="U14" s="144" t="s">
        <v>5008</v>
      </c>
      <c r="V14" s="145" t="str">
        <f>IF(T14="","",VLOOKUP(T14,TF!$K$1:$L$103,2,FALSE))</f>
        <v/>
      </c>
      <c r="W14" s="146"/>
      <c r="X14" s="77"/>
    </row>
    <row r="15" spans="1:24" ht="13.35" customHeight="1" x14ac:dyDescent="0.2">
      <c r="A15" s="170" t="s">
        <v>219</v>
      </c>
      <c r="B15" s="171" t="s">
        <v>220</v>
      </c>
      <c r="C15" s="111">
        <v>91</v>
      </c>
      <c r="D15" s="111">
        <f>VLOOKUP(Stats!C15,Professions!$A$166:$B$271,2,0)</f>
        <v>97</v>
      </c>
      <c r="E15" s="172">
        <f t="shared" si="0"/>
        <v>10.111111111111111</v>
      </c>
      <c r="F15" s="111">
        <f>VLOOKUP(Stats!C15,Professions!$A$2:$C$151,2,0)</f>
        <v>5</v>
      </c>
      <c r="G15" s="111"/>
      <c r="H15" s="111">
        <f>VLOOKUP($B$2,Taulukko1[[#All],[Race]:[Tot. Stat Points]],4,0)</f>
        <v>2</v>
      </c>
      <c r="I15" s="111">
        <f t="shared" si="1"/>
        <v>7</v>
      </c>
      <c r="J15" s="173">
        <f>VLOOKUP(Stats!C15,Professions!$A$2:$C$151,3,0)</f>
        <v>91</v>
      </c>
      <c r="K15" s="174">
        <f t="shared" si="2"/>
        <v>93</v>
      </c>
      <c r="L15" s="175">
        <f t="shared" si="3"/>
        <v>2</v>
      </c>
      <c r="M15" s="150">
        <v>2</v>
      </c>
      <c r="N15" s="176">
        <v>9</v>
      </c>
      <c r="O15" s="80">
        <f t="shared" si="4"/>
        <v>2</v>
      </c>
      <c r="P15" s="151">
        <f t="shared" si="5"/>
        <v>9</v>
      </c>
      <c r="Q15" s="80">
        <v>44</v>
      </c>
      <c r="W15" s="177"/>
      <c r="X15" s="77"/>
    </row>
    <row r="16" spans="1:24" ht="13.35" customHeight="1" x14ac:dyDescent="0.2">
      <c r="A16" s="170" t="s">
        <v>221</v>
      </c>
      <c r="B16" s="171" t="s">
        <v>222</v>
      </c>
      <c r="C16" s="111">
        <v>34</v>
      </c>
      <c r="D16" s="111">
        <f>VLOOKUP(Stats!C16,Professions!$A$166:$B$271,2,0)</f>
        <v>73</v>
      </c>
      <c r="E16" s="172">
        <f t="shared" si="0"/>
        <v>3.7777777777777777</v>
      </c>
      <c r="F16" s="111">
        <f>VLOOKUP(Stats!C16,Professions!$A$2:$C$151,2,0)</f>
        <v>0</v>
      </c>
      <c r="G16" s="111"/>
      <c r="H16" s="111">
        <f>VLOOKUP($B$2,Taulukko1[[#All],[Race]:[Tot. Stat Points]],5,0)</f>
        <v>0</v>
      </c>
      <c r="I16" s="111">
        <f t="shared" si="1"/>
        <v>0</v>
      </c>
      <c r="J16" s="173">
        <f>VLOOKUP(Stats!C16,Professions!$A$2:$C$151,3,0)</f>
        <v>34</v>
      </c>
      <c r="K16" s="174">
        <f t="shared" si="2"/>
        <v>38</v>
      </c>
      <c r="L16" s="175">
        <f t="shared" si="3"/>
        <v>4</v>
      </c>
      <c r="M16" s="150">
        <v>1</v>
      </c>
      <c r="N16" s="176">
        <v>3</v>
      </c>
      <c r="O16" s="80">
        <f t="shared" si="4"/>
        <v>1</v>
      </c>
      <c r="P16" s="151">
        <f t="shared" si="5"/>
        <v>3</v>
      </c>
      <c r="Q16" s="80">
        <v>54</v>
      </c>
    </row>
    <row r="17" spans="1:25" ht="13.35" customHeight="1" x14ac:dyDescent="0.2">
      <c r="A17" s="170" t="s">
        <v>223</v>
      </c>
      <c r="B17" s="171" t="s">
        <v>224</v>
      </c>
      <c r="C17" s="111">
        <v>34</v>
      </c>
      <c r="D17" s="111">
        <f>VLOOKUP(Stats!C17,Professions!$A$166:$B$271,2,0)</f>
        <v>73</v>
      </c>
      <c r="E17" s="172">
        <f t="shared" si="0"/>
        <v>3.7777777777777777</v>
      </c>
      <c r="F17" s="111">
        <f>VLOOKUP(Stats!C17,Professions!$A$2:$C$151,2,0)</f>
        <v>0</v>
      </c>
      <c r="G17" s="111"/>
      <c r="H17" s="111">
        <f>VLOOKUP($B$2,Taulukko1[[#All],[Race]:[Tot. Stat Points]],6,0)</f>
        <v>0</v>
      </c>
      <c r="I17" s="111">
        <f t="shared" si="1"/>
        <v>0</v>
      </c>
      <c r="J17" s="173">
        <f>VLOOKUP(Stats!C17,Professions!$A$2:$C$151,3,0)</f>
        <v>34</v>
      </c>
      <c r="K17" s="174">
        <f t="shared" si="2"/>
        <v>43</v>
      </c>
      <c r="L17" s="175">
        <f t="shared" si="3"/>
        <v>9</v>
      </c>
      <c r="M17" s="150">
        <v>8</v>
      </c>
      <c r="N17" s="176">
        <v>1</v>
      </c>
      <c r="O17" s="80">
        <f t="shared" si="4"/>
        <v>1</v>
      </c>
      <c r="P17" s="151">
        <f t="shared" si="5"/>
        <v>8</v>
      </c>
      <c r="Q17" s="80">
        <v>64</v>
      </c>
      <c r="W17" s="152"/>
    </row>
    <row r="18" spans="1:25" ht="13.35" customHeight="1" x14ac:dyDescent="0.2">
      <c r="A18" s="170" t="s">
        <v>225</v>
      </c>
      <c r="B18" s="171" t="s">
        <v>226</v>
      </c>
      <c r="C18" s="111">
        <v>94</v>
      </c>
      <c r="D18" s="111">
        <f>VLOOKUP(Stats!C18,Professions!$A$166:$B$271,2,0)</f>
        <v>98</v>
      </c>
      <c r="E18" s="172">
        <f t="shared" si="0"/>
        <v>10.444444444444445</v>
      </c>
      <c r="F18" s="111">
        <f>VLOOKUP(Stats!C18,Professions!$A$2:$C$151,2,0)</f>
        <v>7</v>
      </c>
      <c r="G18" s="111"/>
      <c r="H18" s="111">
        <f>VLOOKUP($B$2,Taulukko1[[#All],[Race]:[Tot. Stat Points]],7,0)</f>
        <v>2</v>
      </c>
      <c r="I18" s="111">
        <f t="shared" si="1"/>
        <v>9</v>
      </c>
      <c r="J18" s="173">
        <f>VLOOKUP(Stats!C18,Professions!$A$2:$C$151,3,0)</f>
        <v>106</v>
      </c>
      <c r="K18" s="174">
        <f t="shared" si="2"/>
        <v>98</v>
      </c>
      <c r="L18" s="175">
        <f t="shared" si="3"/>
        <v>12</v>
      </c>
      <c r="M18" s="150">
        <v>6</v>
      </c>
      <c r="N18" s="176">
        <v>6</v>
      </c>
      <c r="O18" s="80">
        <f t="shared" si="4"/>
        <v>12</v>
      </c>
      <c r="P18" s="151">
        <f t="shared" si="5"/>
        <v>12</v>
      </c>
      <c r="Q18" s="80">
        <v>74</v>
      </c>
      <c r="W18" s="152"/>
    </row>
    <row r="19" spans="1:25" ht="13.35" customHeight="1" x14ac:dyDescent="0.2">
      <c r="A19" s="170" t="s">
        <v>227</v>
      </c>
      <c r="B19" s="171" t="s">
        <v>228</v>
      </c>
      <c r="C19" s="111">
        <v>96</v>
      </c>
      <c r="D19" s="111">
        <f>VLOOKUP(Stats!C19,Professions!$A$166:$B$271,2,0)</f>
        <v>99</v>
      </c>
      <c r="E19" s="172">
        <f t="shared" si="0"/>
        <v>10.666666666666666</v>
      </c>
      <c r="F19" s="111">
        <f>VLOOKUP(Stats!C19,Professions!$A$2:$C$151,2,0)</f>
        <v>8</v>
      </c>
      <c r="G19" s="111"/>
      <c r="H19" s="111">
        <f>VLOOKUP($B$2,Taulukko1[[#All],[Race]:[Tot. Stat Points]],8,0)</f>
        <v>0</v>
      </c>
      <c r="I19" s="111">
        <f t="shared" si="1"/>
        <v>8</v>
      </c>
      <c r="J19" s="173">
        <f>VLOOKUP(Stats!C19,Professions!$A$2:$C$151,3,0)</f>
        <v>126</v>
      </c>
      <c r="K19" s="174">
        <f t="shared" si="2"/>
        <v>99</v>
      </c>
      <c r="L19" s="175">
        <f t="shared" si="3"/>
        <v>6</v>
      </c>
      <c r="M19" s="150">
        <v>8</v>
      </c>
      <c r="N19" s="176">
        <v>6</v>
      </c>
      <c r="O19" s="80">
        <f t="shared" si="4"/>
        <v>6</v>
      </c>
      <c r="P19" s="151">
        <f t="shared" si="5"/>
        <v>8</v>
      </c>
      <c r="Q19" s="80">
        <v>84</v>
      </c>
      <c r="W19" s="152"/>
    </row>
    <row r="20" spans="1:25" ht="13.35" customHeight="1" x14ac:dyDescent="0.2">
      <c r="A20" s="170" t="s">
        <v>229</v>
      </c>
      <c r="B20" s="171" t="s">
        <v>230</v>
      </c>
      <c r="C20" s="111">
        <v>34</v>
      </c>
      <c r="D20" s="111">
        <f>VLOOKUP(Stats!C20,Professions!$A$166:$B$271,2,0)</f>
        <v>73</v>
      </c>
      <c r="E20" s="172">
        <f t="shared" si="0"/>
        <v>3.7777777777777777</v>
      </c>
      <c r="F20" s="111">
        <f>VLOOKUP(Stats!C20,Professions!$A$2:$C$151,2,0)</f>
        <v>0</v>
      </c>
      <c r="G20" s="111"/>
      <c r="H20" s="111">
        <f>VLOOKUP($B$2,Taulukko1[[#All],[Race]:[Tot. Stat Points]],9,0)</f>
        <v>2</v>
      </c>
      <c r="I20" s="111">
        <f t="shared" si="1"/>
        <v>2</v>
      </c>
      <c r="J20" s="173">
        <f>VLOOKUP(Stats!C20,Professions!$A$2:$C$151,3,0)</f>
        <v>34</v>
      </c>
      <c r="K20" s="174">
        <f t="shared" si="2"/>
        <v>39</v>
      </c>
      <c r="L20" s="175">
        <f t="shared" si="3"/>
        <v>5</v>
      </c>
      <c r="M20" s="150">
        <v>2</v>
      </c>
      <c r="N20" s="176">
        <v>3</v>
      </c>
      <c r="O20" s="80">
        <f t="shared" si="4"/>
        <v>2</v>
      </c>
      <c r="P20" s="151">
        <f t="shared" si="5"/>
        <v>3</v>
      </c>
      <c r="W20" s="152"/>
    </row>
    <row r="21" spans="1:25" ht="13.35" customHeight="1" x14ac:dyDescent="0.2">
      <c r="A21" s="170" t="s">
        <v>231</v>
      </c>
      <c r="B21" s="171" t="s">
        <v>232</v>
      </c>
      <c r="C21" s="111">
        <v>90</v>
      </c>
      <c r="D21" s="111">
        <f>VLOOKUP(Stats!C21,Professions!$A$166:$B$271,2,0)</f>
        <v>96</v>
      </c>
      <c r="E21" s="172">
        <f t="shared" si="0"/>
        <v>10</v>
      </c>
      <c r="F21" s="111">
        <f>VLOOKUP(Stats!C21,Professions!$A$2:$C$151,2,0)</f>
        <v>5</v>
      </c>
      <c r="G21" s="111"/>
      <c r="H21" s="111">
        <f>VLOOKUP($B$2,Taulukko1[[#All],[Race]:[Tot. Stat Points]],10,0)</f>
        <v>0</v>
      </c>
      <c r="I21" s="111">
        <f t="shared" si="1"/>
        <v>5</v>
      </c>
      <c r="J21" s="173">
        <f>VLOOKUP(Stats!C21,Professions!$A$2:$C$151,3,0)</f>
        <v>90</v>
      </c>
      <c r="K21" s="174">
        <f t="shared" si="2"/>
        <v>91</v>
      </c>
      <c r="L21" s="175">
        <f t="shared" si="3"/>
        <v>1</v>
      </c>
      <c r="M21" s="150">
        <v>1</v>
      </c>
      <c r="N21" s="176">
        <v>5</v>
      </c>
      <c r="O21" s="80">
        <f t="shared" si="4"/>
        <v>1</v>
      </c>
      <c r="P21" s="151">
        <f t="shared" si="5"/>
        <v>5</v>
      </c>
      <c r="W21" s="152"/>
    </row>
    <row r="22" spans="1:25" ht="13.35" customHeight="1" x14ac:dyDescent="0.2">
      <c r="A22" s="170" t="s">
        <v>233</v>
      </c>
      <c r="B22" s="171" t="s">
        <v>234</v>
      </c>
      <c r="C22" s="111">
        <v>100</v>
      </c>
      <c r="D22" s="111">
        <f>VLOOKUP(Stats!C22,Professions!$A$166:$B$271,2,0)</f>
        <v>101</v>
      </c>
      <c r="E22" s="172">
        <f t="shared" si="0"/>
        <v>11.111111111111111</v>
      </c>
      <c r="F22" s="111">
        <f>VLOOKUP(Stats!C22,Professions!$A$2:$C$151,2,0)</f>
        <v>10</v>
      </c>
      <c r="G22" s="111"/>
      <c r="H22" s="111">
        <f>VLOOKUP($B$2,Taulukko1[[#All],[Race]:[Tot. Stat Points]],11,0)</f>
        <v>0</v>
      </c>
      <c r="I22" s="111">
        <f t="shared" si="1"/>
        <v>10</v>
      </c>
      <c r="J22" s="173">
        <f>VLOOKUP(Stats!C22,Professions!$A$2:$C$151,3,0)</f>
        <v>190</v>
      </c>
      <c r="K22" s="178">
        <f t="shared" si="2"/>
        <v>101</v>
      </c>
      <c r="L22" s="179">
        <f t="shared" si="3"/>
        <v>8</v>
      </c>
      <c r="M22" s="157">
        <v>8</v>
      </c>
      <c r="N22" s="180">
        <v>9</v>
      </c>
      <c r="O22" s="117">
        <f t="shared" si="4"/>
        <v>8</v>
      </c>
      <c r="P22" s="158">
        <f t="shared" si="5"/>
        <v>9</v>
      </c>
      <c r="W22" s="152"/>
    </row>
    <row r="23" spans="1:25" ht="13.35" customHeight="1" x14ac:dyDescent="0.2">
      <c r="C23" s="112"/>
      <c r="D23" s="112" t="s">
        <v>235</v>
      </c>
      <c r="E23" s="182">
        <f>SUM(E13:E22)</f>
        <v>77.888888888888886</v>
      </c>
      <c r="G23" s="112"/>
      <c r="I23" s="151"/>
      <c r="J23" s="112">
        <f>SUM(J13:J22)</f>
        <v>845</v>
      </c>
      <c r="K23" s="112"/>
      <c r="O23" s="80"/>
      <c r="W23" s="152"/>
    </row>
    <row r="24" spans="1:25" ht="13.35" customHeight="1" x14ac:dyDescent="0.2">
      <c r="A24" s="183" t="s">
        <v>236</v>
      </c>
      <c r="B24" s="184"/>
      <c r="C24" s="184"/>
      <c r="D24" s="185"/>
      <c r="E24" s="106" t="s">
        <v>237</v>
      </c>
      <c r="F24" s="106" t="s">
        <v>238</v>
      </c>
      <c r="G24" s="106" t="s">
        <v>205</v>
      </c>
      <c r="H24" s="106" t="s">
        <v>206</v>
      </c>
      <c r="I24" s="106" t="s">
        <v>207</v>
      </c>
      <c r="J24" s="186">
        <f>660-J23</f>
        <v>-185</v>
      </c>
      <c r="K24" s="80" t="s">
        <v>239</v>
      </c>
      <c r="N24" s="189" t="s">
        <v>248</v>
      </c>
      <c r="O24" s="189"/>
      <c r="P24" s="189"/>
      <c r="Q24" s="189"/>
      <c r="R24" s="189"/>
      <c r="S24" s="189"/>
      <c r="T24" s="189" t="s">
        <v>249</v>
      </c>
      <c r="U24" s="189" t="s">
        <v>250</v>
      </c>
      <c r="V24" s="189"/>
      <c r="X24" s="80" t="s">
        <v>251</v>
      </c>
      <c r="Y24" s="80" t="s">
        <v>252</v>
      </c>
    </row>
    <row r="25" spans="1:25" ht="13.35" customHeight="1" x14ac:dyDescent="0.2">
      <c r="A25" s="187" t="s">
        <v>240</v>
      </c>
      <c r="B25" s="117"/>
      <c r="C25" s="117"/>
      <c r="D25" s="171" t="s">
        <v>232</v>
      </c>
      <c r="E25" s="111">
        <f>I21*3</f>
        <v>15</v>
      </c>
      <c r="F25" s="111"/>
      <c r="G25" s="111"/>
      <c r="H25" s="111">
        <f>VLOOKUP($B$2,Taulukko1[[#All],[Race]:[Tot. Stat Points]],12,0)</f>
        <v>0</v>
      </c>
      <c r="I25" s="111">
        <f>E25+F25+G25+H25</f>
        <v>15</v>
      </c>
      <c r="N25" s="191" t="s">
        <v>254</v>
      </c>
      <c r="O25" s="191"/>
      <c r="P25" s="191"/>
      <c r="T25" s="80" t="s">
        <v>255</v>
      </c>
      <c r="U25" s="80">
        <f>VLOOKUP(T25,$X$25:$Y$31,2,0)</f>
        <v>3</v>
      </c>
      <c r="X25" s="80" t="s">
        <v>256</v>
      </c>
      <c r="Y25" s="80">
        <v>1</v>
      </c>
    </row>
    <row r="26" spans="1:25" ht="13.35" customHeight="1" x14ac:dyDescent="0.2">
      <c r="A26" s="187" t="s">
        <v>241</v>
      </c>
      <c r="B26" s="117"/>
      <c r="C26" s="117"/>
      <c r="D26" s="171" t="s">
        <v>234</v>
      </c>
      <c r="E26" s="111">
        <f>I22*3</f>
        <v>30</v>
      </c>
      <c r="F26" s="111"/>
      <c r="G26" s="111"/>
      <c r="H26" s="111">
        <f>VLOOKUP($B$2,Taulukko1[[#All],[Race]:[Tot. Stat Points]],13,0)</f>
        <v>0</v>
      </c>
      <c r="I26" s="111">
        <f>E26+F26+G26+H26</f>
        <v>30</v>
      </c>
      <c r="K26" s="80" t="s">
        <v>4597</v>
      </c>
      <c r="L26" s="188">
        <f>(B4+VLOOKUP(B2,Taulukko1[[Race]:[Weight allowance bonus]],22,FALSE))/10</f>
        <v>9.5697167755991313</v>
      </c>
      <c r="N26" s="80" t="s">
        <v>265</v>
      </c>
      <c r="O26" s="80"/>
      <c r="T26" s="80" t="s">
        <v>266</v>
      </c>
      <c r="U26" s="80">
        <f>VLOOKUP(T26,$X$25:$Y$31,2,0)</f>
        <v>4</v>
      </c>
      <c r="X26" s="80" t="s">
        <v>267</v>
      </c>
      <c r="Y26" s="80">
        <v>2</v>
      </c>
    </row>
    <row r="27" spans="1:25" ht="13.35" customHeight="1" x14ac:dyDescent="0.2">
      <c r="A27" s="187" t="s">
        <v>242</v>
      </c>
      <c r="B27" s="117"/>
      <c r="C27" s="117"/>
      <c r="D27" s="171" t="s">
        <v>230</v>
      </c>
      <c r="E27" s="111">
        <f>I20*3</f>
        <v>6</v>
      </c>
      <c r="F27" s="111"/>
      <c r="G27" s="111"/>
      <c r="H27" s="111">
        <f>VLOOKUP($B$2,Taulukko1[[#All],[Race]:[Tot. Stat Points]],14,0)</f>
        <v>0</v>
      </c>
      <c r="I27" s="111">
        <f>E27+F27+G27+H27</f>
        <v>6</v>
      </c>
      <c r="K27" s="80" t="s">
        <v>4596</v>
      </c>
      <c r="L27" s="188">
        <f>L30/L26</f>
        <v>3.0610611250996027</v>
      </c>
      <c r="O27" s="80"/>
      <c r="X27" s="80" t="s">
        <v>255</v>
      </c>
      <c r="Y27" s="80">
        <v>3</v>
      </c>
    </row>
    <row r="28" spans="1:25" ht="13.35" customHeight="1" x14ac:dyDescent="0.2">
      <c r="A28" s="187" t="s">
        <v>243</v>
      </c>
      <c r="B28" s="117"/>
      <c r="C28" s="117"/>
      <c r="D28" s="171" t="s">
        <v>216</v>
      </c>
      <c r="E28" s="111">
        <f>I13*3</f>
        <v>6</v>
      </c>
      <c r="F28" s="111"/>
      <c r="G28" s="111"/>
      <c r="H28" s="111">
        <f>VLOOKUP($B$2,Taulukko1[[#All],[Race]:[Tot. Stat Points]],15,0)</f>
        <v>0</v>
      </c>
      <c r="I28" s="111">
        <f>E28+F28+G28+H28</f>
        <v>6</v>
      </c>
      <c r="K28" s="80" t="s">
        <v>4595</v>
      </c>
      <c r="L28" s="80">
        <f>VLOOKUP(L27,Professions!A394:B425,2)</f>
        <v>-24</v>
      </c>
      <c r="N28" s="80" t="s">
        <v>277</v>
      </c>
      <c r="O28" s="80"/>
      <c r="T28" s="80" t="s">
        <v>269</v>
      </c>
      <c r="U28" s="80">
        <f>VLOOKUP(T28,$X$25:$Y$31,2,0)</f>
        <v>5</v>
      </c>
      <c r="X28" s="80" t="s">
        <v>266</v>
      </c>
      <c r="Y28" s="80">
        <v>4</v>
      </c>
    </row>
    <row r="29" spans="1:25" ht="13.35" customHeight="1" x14ac:dyDescent="0.2">
      <c r="A29" s="187" t="s">
        <v>244</v>
      </c>
      <c r="B29" s="117"/>
      <c r="C29" s="117"/>
      <c r="D29" s="171" t="s">
        <v>216</v>
      </c>
      <c r="E29" s="111">
        <f>I13*3</f>
        <v>6</v>
      </c>
      <c r="F29" s="111"/>
      <c r="G29" s="111"/>
      <c r="H29" s="111">
        <f>VLOOKUP($B$2,Taulukko1[[#All],[Race]:[Tot. Stat Points]],16,0)</f>
        <v>0</v>
      </c>
      <c r="I29" s="111">
        <f>E29+F29+G29+H29</f>
        <v>6</v>
      </c>
      <c r="O29" s="80"/>
      <c r="X29" s="80" t="s">
        <v>269</v>
      </c>
      <c r="Y29" s="80">
        <v>5</v>
      </c>
    </row>
    <row r="30" spans="1:25" ht="13.35" customHeight="1" x14ac:dyDescent="0.2">
      <c r="A30" s="187" t="s">
        <v>245</v>
      </c>
      <c r="B30" s="117"/>
      <c r="C30" s="117"/>
      <c r="D30" s="171" t="s">
        <v>220</v>
      </c>
      <c r="E30" s="111">
        <f>I15*3</f>
        <v>21</v>
      </c>
      <c r="F30" s="111"/>
      <c r="G30" s="111"/>
      <c r="H30" s="111" t="s">
        <v>246</v>
      </c>
      <c r="I30" s="111">
        <f>E30+F30+G30</f>
        <v>21</v>
      </c>
      <c r="K30" s="80" t="s">
        <v>247</v>
      </c>
      <c r="L30" s="188">
        <f>SUM(H127:H186)*0.4536</f>
        <v>29.293488000000018</v>
      </c>
      <c r="N30" s="198"/>
      <c r="O30" s="80"/>
      <c r="P30" s="191"/>
      <c r="X30" s="80" t="s">
        <v>279</v>
      </c>
      <c r="Y30" s="80">
        <v>6</v>
      </c>
    </row>
    <row r="31" spans="1:25" ht="13.35" customHeight="1" x14ac:dyDescent="0.2">
      <c r="I31" s="151"/>
      <c r="K31" s="80" t="s">
        <v>4598</v>
      </c>
      <c r="L31" s="190">
        <f>IF(I18&gt;0,L28+I18*3,L28)</f>
        <v>3</v>
      </c>
      <c r="M31" s="112"/>
      <c r="O31" s="80"/>
      <c r="X31" s="80" t="s">
        <v>283</v>
      </c>
      <c r="Y31" s="80">
        <v>7</v>
      </c>
    </row>
    <row r="32" spans="1:25" ht="13.35" customHeight="1" x14ac:dyDescent="0.2">
      <c r="A32" s="192" t="s">
        <v>257</v>
      </c>
      <c r="B32" s="165"/>
      <c r="C32" s="106" t="s">
        <v>258</v>
      </c>
      <c r="D32" s="106" t="s">
        <v>259</v>
      </c>
      <c r="E32" s="106" t="s">
        <v>260</v>
      </c>
      <c r="F32" s="106" t="s">
        <v>261</v>
      </c>
      <c r="G32" s="106" t="s">
        <v>262</v>
      </c>
      <c r="H32" s="106" t="s">
        <v>263</v>
      </c>
      <c r="I32" s="106" t="s">
        <v>264</v>
      </c>
      <c r="K32" s="79" t="s">
        <v>5572</v>
      </c>
      <c r="L32" s="79">
        <f>IF(L31&lt;0,L31,0)</f>
        <v>0</v>
      </c>
      <c r="N32" s="206" t="s">
        <v>240</v>
      </c>
      <c r="Q32" s="389" t="s">
        <v>4936</v>
      </c>
      <c r="R32" s="390"/>
      <c r="S32" s="391"/>
    </row>
    <row r="33" spans="1:22" ht="13.35" customHeight="1" x14ac:dyDescent="0.2">
      <c r="A33" s="193">
        <f>ROUND(Skills!K81,0)</f>
        <v>26</v>
      </c>
      <c r="B33" s="194"/>
      <c r="C33" s="195"/>
      <c r="D33" s="111">
        <f>A33*0.75</f>
        <v>19.5</v>
      </c>
      <c r="E33" s="111">
        <f>A33*0.5</f>
        <v>13</v>
      </c>
      <c r="F33" s="111">
        <f>A33*0.25</f>
        <v>6.5</v>
      </c>
      <c r="G33" s="111">
        <f>IF(I13/2&gt;1,I13/2,1)</f>
        <v>1</v>
      </c>
      <c r="H33" s="111">
        <f>IF(I13&gt;0,I13*2,1)</f>
        <v>4</v>
      </c>
      <c r="I33" s="111" t="s">
        <v>268</v>
      </c>
      <c r="N33" s="214" t="s">
        <v>241</v>
      </c>
      <c r="Q33" s="392"/>
      <c r="R33" s="393"/>
      <c r="S33" s="394"/>
    </row>
    <row r="34" spans="1:22" ht="13.35" customHeight="1" x14ac:dyDescent="0.2">
      <c r="A34" s="192" t="s">
        <v>270</v>
      </c>
      <c r="B34" s="165"/>
      <c r="C34" s="106" t="s">
        <v>258</v>
      </c>
      <c r="D34" s="106" t="s">
        <v>271</v>
      </c>
      <c r="E34" s="106" t="s">
        <v>272</v>
      </c>
      <c r="F34" s="106" t="s">
        <v>261</v>
      </c>
      <c r="G34" s="106" t="s">
        <v>273</v>
      </c>
      <c r="H34" s="106" t="s">
        <v>274</v>
      </c>
      <c r="I34" s="106" t="s">
        <v>275</v>
      </c>
      <c r="K34" s="79" t="s">
        <v>276</v>
      </c>
      <c r="N34" s="214" t="s">
        <v>242</v>
      </c>
      <c r="Q34" s="392"/>
      <c r="R34" s="393"/>
      <c r="S34" s="394"/>
    </row>
    <row r="35" spans="1:22" ht="13.35" customHeight="1" x14ac:dyDescent="0.2">
      <c r="A35" s="196">
        <f>40+$I$13*3</f>
        <v>46</v>
      </c>
      <c r="B35" s="104"/>
      <c r="C35" s="111"/>
      <c r="D35" s="197">
        <f>A35*0.75</f>
        <v>34.5</v>
      </c>
      <c r="E35" s="197">
        <f>A35*0.5</f>
        <v>23</v>
      </c>
      <c r="F35" s="197">
        <f>A35*0.25</f>
        <v>11.5</v>
      </c>
      <c r="G35" s="111">
        <f>IF(I13/2&gt;0,1+I13/2,1)</f>
        <v>2</v>
      </c>
      <c r="H35" s="111">
        <f>A35</f>
        <v>46</v>
      </c>
      <c r="I35" s="111">
        <f>3*10</f>
        <v>30</v>
      </c>
      <c r="K35" s="80" t="s">
        <v>278</v>
      </c>
      <c r="L35" s="198">
        <f>IF(VLOOKUP(Stats!$D$41,Professions!$DH$3:$DK$22,4)+Professions!$DK$28&gt;VLOOKUP(Stats!$D$41,Professions!$DH$3:$DN$22,3),VLOOKUP(Stats!$D$41,Professions!$DH$2:$DN$22,3),VLOOKUP(Stats!$D$41,Professions!$DH$3:$DN$22,4)+Professions!$DK$28)+L32</f>
        <v>0</v>
      </c>
      <c r="N35" s="214" t="s">
        <v>868</v>
      </c>
      <c r="Q35" s="392"/>
      <c r="R35" s="393"/>
      <c r="S35" s="394"/>
    </row>
    <row r="36" spans="1:22" ht="13.35" customHeight="1" x14ac:dyDescent="0.2">
      <c r="A36" s="192" t="s">
        <v>280</v>
      </c>
      <c r="B36" s="165"/>
      <c r="C36" s="106" t="s">
        <v>258</v>
      </c>
      <c r="D36" s="106"/>
      <c r="E36" s="106"/>
      <c r="F36" s="106"/>
      <c r="G36" s="106" t="s">
        <v>3988</v>
      </c>
      <c r="H36" s="106" t="s">
        <v>3987</v>
      </c>
      <c r="I36" s="106" t="s">
        <v>3989</v>
      </c>
      <c r="K36" s="80" t="s">
        <v>281</v>
      </c>
      <c r="L36" s="80">
        <f>IF($I$19*3-(VLOOKUP(Stats!$D$41,Professions!$DH$3:$DM$22,6))&gt;0,(-VLOOKUP(Stats!$D$41,Professions!$DH$3:$DM$22,6)),IF(-$I$19*3&gt;0,0,-$I$19*3))</f>
        <v>0</v>
      </c>
      <c r="N36" s="214" t="s">
        <v>1371</v>
      </c>
      <c r="Q36" s="392"/>
      <c r="R36" s="393"/>
      <c r="S36" s="394"/>
    </row>
    <row r="37" spans="1:22" ht="13.35" customHeight="1" x14ac:dyDescent="0.2">
      <c r="A37" s="196">
        <f>IF(Skills!K219&gt;0,ROUND(Skills!K219,0),0)</f>
        <v>10</v>
      </c>
      <c r="B37" s="104"/>
      <c r="C37" s="111"/>
      <c r="D37" s="197"/>
      <c r="E37" s="111"/>
      <c r="F37" s="197"/>
      <c r="G37" s="119">
        <f>H37/12</f>
        <v>0.41666666666666669</v>
      </c>
      <c r="H37" s="111">
        <v>5</v>
      </c>
      <c r="I37" s="119">
        <f>H37/24</f>
        <v>0.20833333333333334</v>
      </c>
      <c r="K37" s="80" t="s">
        <v>282</v>
      </c>
      <c r="L37" s="80">
        <f>-VLOOKUP(Stats!$D$41,Professions!$DH$3:$DL$22,5)</f>
        <v>0</v>
      </c>
      <c r="N37" s="214" t="s">
        <v>870</v>
      </c>
      <c r="Q37" s="392"/>
      <c r="R37" s="393"/>
      <c r="S37" s="394"/>
    </row>
    <row r="38" spans="1:22" ht="13.35" customHeight="1" x14ac:dyDescent="0.2">
      <c r="A38" s="199"/>
      <c r="I38" s="151"/>
      <c r="M38" s="191"/>
      <c r="N38" s="223" t="s">
        <v>871</v>
      </c>
      <c r="Q38" s="395"/>
      <c r="R38" s="396"/>
      <c r="S38" s="397"/>
    </row>
    <row r="39" spans="1:22" ht="13.35" customHeight="1" x14ac:dyDescent="0.2">
      <c r="A39" s="105" t="s">
        <v>284</v>
      </c>
      <c r="B39" s="200"/>
      <c r="C39" s="201" t="str">
        <f>HLOOKUP($B$5,Professions!$F$117:$DD$118,2,0)</f>
        <v>Ess/Chan</v>
      </c>
      <c r="D39" s="201" t="str">
        <f>IF(B6="","",HLOOKUP($B$6,Professions!$F$117:$DD$118,2,0))</f>
        <v>???</v>
      </c>
      <c r="E39" s="202" t="s">
        <v>4599</v>
      </c>
      <c r="F39" s="203"/>
      <c r="G39" s="204"/>
      <c r="H39" s="205">
        <f>(50+VLOOKUP(Stats!$B$3,Professions!$A$303:$B$391,2)+Stats!$I$19*3)*0.3</f>
        <v>20.7</v>
      </c>
      <c r="I39" s="205"/>
      <c r="V39" s="208"/>
    </row>
    <row r="40" spans="1:22" ht="13.35" customHeight="1" x14ac:dyDescent="0.2">
      <c r="A40" s="209" t="s">
        <v>285</v>
      </c>
      <c r="B40" s="210"/>
      <c r="C40" s="211"/>
      <c r="D40" s="192" t="s">
        <v>286</v>
      </c>
      <c r="E40" s="183" t="s">
        <v>287</v>
      </c>
      <c r="F40" s="212"/>
      <c r="G40" s="213" t="s">
        <v>288</v>
      </c>
      <c r="H40" s="106" t="s">
        <v>289</v>
      </c>
      <c r="I40" s="106" t="s">
        <v>290</v>
      </c>
      <c r="K40" s="79" t="s">
        <v>291</v>
      </c>
      <c r="N40" s="389" t="s">
        <v>4937</v>
      </c>
      <c r="O40" s="390"/>
      <c r="P40" s="390"/>
      <c r="Q40" s="390"/>
      <c r="R40" s="390"/>
      <c r="S40" s="391"/>
      <c r="V40" s="208"/>
    </row>
    <row r="41" spans="1:22" ht="13.35" customHeight="1" x14ac:dyDescent="0.2">
      <c r="A41" s="215" t="str">
        <f>VLOOKUP($D$41,Professions!$DH$3:$DI$22,2)</f>
        <v>Clothes / None</v>
      </c>
      <c r="B41" s="201"/>
      <c r="C41" s="173"/>
      <c r="D41" s="153">
        <v>1</v>
      </c>
      <c r="E41" s="179" t="s">
        <v>292</v>
      </c>
      <c r="F41" s="216">
        <f>(50+VLOOKUP(Stats!$B$3,Professions!$A$303:$B$391,2)+Stats!$I$19*3+Stats!$L$46)*0.3</f>
        <v>20.7</v>
      </c>
      <c r="G41" s="111" t="s">
        <v>293</v>
      </c>
      <c r="H41" s="111" t="s">
        <v>246</v>
      </c>
      <c r="I41" s="111" t="s">
        <v>294</v>
      </c>
      <c r="K41" s="80" t="s">
        <v>278</v>
      </c>
      <c r="L41" s="198">
        <f>IF(VLOOKUP(Stats!$D$41,Professions!$DH$32:$DK$51,4)+Professions!$DM$57&gt;VLOOKUP(Stats!$D$41,Professions!$DH$32:$DK$51,3),VLOOKUP(Stats!$D$41,Professions!$DH$31:$DK$51,3),VLOOKUP(Stats!$D$41,Professions!$DH$32:$DK$51,4)+Professions!$DM$57)+L32</f>
        <v>0</v>
      </c>
      <c r="N41" s="392"/>
      <c r="O41" s="393"/>
      <c r="P41" s="393"/>
      <c r="Q41" s="393"/>
      <c r="R41" s="393"/>
      <c r="S41" s="394"/>
      <c r="V41" s="208"/>
    </row>
    <row r="42" spans="1:22" ht="13.35" customHeight="1" x14ac:dyDescent="0.2">
      <c r="A42" s="217" t="s">
        <v>295</v>
      </c>
      <c r="B42" s="201"/>
      <c r="C42" s="173"/>
      <c r="D42" s="153"/>
      <c r="E42" s="111" t="s">
        <v>296</v>
      </c>
      <c r="F42" s="172">
        <f>F41*2</f>
        <v>41.4</v>
      </c>
      <c r="G42" s="111" t="s">
        <v>297</v>
      </c>
      <c r="H42" s="111" t="s">
        <v>246</v>
      </c>
      <c r="I42" s="111" t="s">
        <v>298</v>
      </c>
      <c r="K42" s="80" t="s">
        <v>281</v>
      </c>
      <c r="L42" s="80">
        <f>IF($I$19*3-(VLOOKUP(Stats!$D$41,Professions!$DH$32:$DM$51,6))&gt;0,(-VLOOKUP(Stats!$D$41,Professions!$DH$32:$DM$51,6)),IF(-$I$19*3&gt;0,0,-$I$19*3))</f>
        <v>0</v>
      </c>
      <c r="N42" s="392"/>
      <c r="O42" s="393"/>
      <c r="P42" s="393"/>
      <c r="Q42" s="393"/>
      <c r="R42" s="393"/>
      <c r="S42" s="394"/>
      <c r="V42" s="208"/>
    </row>
    <row r="43" spans="1:22" ht="13.35" customHeight="1" x14ac:dyDescent="0.2">
      <c r="A43" s="215" t="s">
        <v>299</v>
      </c>
      <c r="B43" s="218"/>
      <c r="C43" s="173"/>
      <c r="D43" s="219"/>
      <c r="E43" s="111" t="s">
        <v>300</v>
      </c>
      <c r="F43" s="172">
        <f>F41*3</f>
        <v>62.099999999999994</v>
      </c>
      <c r="G43" s="111" t="s">
        <v>301</v>
      </c>
      <c r="H43" s="111">
        <v>20</v>
      </c>
      <c r="I43" s="111" t="s">
        <v>302</v>
      </c>
      <c r="K43" s="80" t="s">
        <v>282</v>
      </c>
      <c r="L43" s="80">
        <f>-VLOOKUP(Stats!$D$41,Professions!$DH$32:$DL$51,5)</f>
        <v>0</v>
      </c>
      <c r="N43" s="392"/>
      <c r="O43" s="393"/>
      <c r="P43" s="393"/>
      <c r="Q43" s="393"/>
      <c r="R43" s="393"/>
      <c r="S43" s="394"/>
      <c r="V43" s="208"/>
    </row>
    <row r="44" spans="1:22" ht="13.35" customHeight="1" x14ac:dyDescent="0.2">
      <c r="A44" s="215" t="s">
        <v>303</v>
      </c>
      <c r="B44" s="220"/>
      <c r="C44" s="173"/>
      <c r="D44" s="221"/>
      <c r="E44" s="111" t="s">
        <v>304</v>
      </c>
      <c r="F44" s="172">
        <f>F41*4</f>
        <v>82.8</v>
      </c>
      <c r="G44" s="111" t="s">
        <v>305</v>
      </c>
      <c r="H44" s="111">
        <v>10</v>
      </c>
      <c r="I44" s="111" t="s">
        <v>306</v>
      </c>
      <c r="N44" s="392"/>
      <c r="O44" s="393"/>
      <c r="P44" s="393"/>
      <c r="Q44" s="393"/>
      <c r="R44" s="393"/>
      <c r="S44" s="394"/>
      <c r="V44" s="208"/>
    </row>
    <row r="45" spans="1:22" ht="13.35" customHeight="1" x14ac:dyDescent="0.2">
      <c r="A45" s="215" t="s">
        <v>307</v>
      </c>
      <c r="B45" s="220"/>
      <c r="C45" s="173"/>
      <c r="D45" s="221"/>
      <c r="E45" s="148" t="s">
        <v>308</v>
      </c>
      <c r="F45" s="222">
        <f>F41*5</f>
        <v>103.5</v>
      </c>
      <c r="G45" s="148" t="s">
        <v>309</v>
      </c>
      <c r="H45" s="111">
        <v>0</v>
      </c>
      <c r="I45" s="111" t="s">
        <v>310</v>
      </c>
      <c r="K45" s="80" t="s">
        <v>311</v>
      </c>
      <c r="N45" s="392"/>
      <c r="O45" s="393"/>
      <c r="P45" s="393"/>
      <c r="Q45" s="393"/>
      <c r="R45" s="393"/>
      <c r="S45" s="394"/>
      <c r="V45" s="208"/>
    </row>
    <row r="46" spans="1:22" ht="13.35" customHeight="1" x14ac:dyDescent="0.2">
      <c r="A46" s="215" t="s">
        <v>312</v>
      </c>
      <c r="B46" s="220"/>
      <c r="C46" s="173"/>
      <c r="D46" s="224">
        <f>I19*3+D43+D42+D44+D45+IF(L47&lt;0,L47,0)</f>
        <v>24</v>
      </c>
      <c r="E46" s="183" t="s">
        <v>313</v>
      </c>
      <c r="F46" s="225"/>
      <c r="G46" s="226"/>
      <c r="H46" s="227">
        <f>L48</f>
        <v>0</v>
      </c>
      <c r="I46" s="111"/>
      <c r="K46" s="80" t="s">
        <v>278</v>
      </c>
      <c r="L46" s="198">
        <f>IF($D$44&gt;0,L41,L35)</f>
        <v>0</v>
      </c>
      <c r="N46" s="392"/>
      <c r="O46" s="393"/>
      <c r="P46" s="393"/>
      <c r="Q46" s="393"/>
      <c r="R46" s="393"/>
      <c r="S46" s="394"/>
    </row>
    <row r="47" spans="1:22" ht="13.35" customHeight="1" x14ac:dyDescent="0.2">
      <c r="I47" s="151"/>
      <c r="K47" s="80" t="s">
        <v>281</v>
      </c>
      <c r="L47" s="80">
        <f>IF($D$44&gt;0,L42,L36)</f>
        <v>0</v>
      </c>
      <c r="N47" s="395"/>
      <c r="O47" s="396"/>
      <c r="P47" s="396"/>
      <c r="Q47" s="396"/>
      <c r="R47" s="396"/>
      <c r="S47" s="397"/>
    </row>
    <row r="48" spans="1:22" ht="13.35" customHeight="1" x14ac:dyDescent="0.2">
      <c r="A48" s="228" t="s">
        <v>314</v>
      </c>
      <c r="B48" s="184"/>
      <c r="C48" s="106" t="str">
        <f>IF(Skills!$R$385&gt;0,Skills!$T$385,"")</f>
        <v>Pole Arm</v>
      </c>
      <c r="D48" s="106" t="str">
        <f>IF(Skills!$R$386&gt;0,Skills!$T$386,"")</f>
        <v>Pole Arm</v>
      </c>
      <c r="E48" s="106" t="str">
        <f>IF(Skills!$R$387&gt;0,Skills!$T$387,"")</f>
        <v>Pole Arm</v>
      </c>
      <c r="F48" s="106" t="str">
        <f>IF(Skills!$R$388&gt;0,Skills!$T$388,"")</f>
        <v>2-Handed</v>
      </c>
      <c r="G48" s="106" t="str">
        <f>IF(Skills!$R$389&gt;0,Skills!$T$389,"")</f>
        <v>2-Handed</v>
      </c>
      <c r="H48" s="106" t="str">
        <f>IF(Skills!$R$390&gt;0,Skills!$T$390,"")</f>
        <v>2-Handed</v>
      </c>
      <c r="I48" s="106" t="str">
        <f>IF(Skills!$R$391&gt;0,Skills!$T$391,"")</f>
        <v>1-H Edged</v>
      </c>
      <c r="K48" s="80" t="s">
        <v>282</v>
      </c>
      <c r="L48" s="80">
        <f>IF($D$44&gt;0,L43,L37)</f>
        <v>0</v>
      </c>
    </row>
    <row r="49" spans="1:16" ht="13.35" customHeight="1" x14ac:dyDescent="0.2">
      <c r="A49" s="215" t="s">
        <v>315</v>
      </c>
      <c r="B49" s="229"/>
      <c r="C49" s="197">
        <f>IF(Skills!$R$385&gt;0,Skills!$R$385,0)</f>
        <v>4.9901600000000004</v>
      </c>
      <c r="D49" s="197">
        <f>IF(Skills!$R$386&gt;0,Skills!$R$386,0)</f>
        <v>4.9901499999999999</v>
      </c>
      <c r="E49" s="197">
        <f>IF(Skills!$R$387&gt;0,Skills!$R$387,0)</f>
        <v>4.9901400000000002</v>
      </c>
      <c r="F49" s="197">
        <f>IF(Skills!$R$388&gt;0,Skills!$R$388,0)</f>
        <v>4.9900900000000004</v>
      </c>
      <c r="G49" s="197">
        <f>IF(Skills!$R$389&gt;0,Skills!$R$389,0)</f>
        <v>4.9900799999999998</v>
      </c>
      <c r="H49" s="197">
        <f>IF(Skills!$R$390&gt;0,Skills!$R$390,0)</f>
        <v>4.9900700000000002</v>
      </c>
      <c r="I49" s="197">
        <f>IF(Skills!$R$391&gt;0,Skills!$R$391,0)</f>
        <v>4.9900600000000006</v>
      </c>
      <c r="P49" s="80">
        <f>IF($I$19*3-(VLOOKUP(Stats!$D$41,Professions!$DH$3:$DM$22,6)-Stats!$D$44)&gt;0,(-VLOOKUP(Stats!$D$41,Professions!$DH$3:$DM$22,6)+Stats!$D$44),IF(-$I$19*3&gt;0,0,-$I$19*3))</f>
        <v>0</v>
      </c>
    </row>
    <row r="50" spans="1:16" ht="13.35" customHeight="1" x14ac:dyDescent="0.2">
      <c r="A50" s="215" t="s">
        <v>316</v>
      </c>
      <c r="B50" s="229"/>
      <c r="C50" s="197"/>
      <c r="D50" s="197"/>
      <c r="E50" s="197"/>
      <c r="F50" s="197"/>
      <c r="G50" s="197"/>
      <c r="H50" s="197"/>
      <c r="I50" s="197"/>
      <c r="K50" s="235" t="s">
        <v>5186</v>
      </c>
      <c r="L50" s="236" t="s">
        <v>325</v>
      </c>
      <c r="M50" s="237" t="s">
        <v>326</v>
      </c>
      <c r="O50" s="80"/>
    </row>
    <row r="51" spans="1:16" ht="13.35" customHeight="1" x14ac:dyDescent="0.2">
      <c r="A51" s="230" t="s">
        <v>317</v>
      </c>
      <c r="B51" s="229"/>
      <c r="C51" s="231">
        <f>IF(Skills!$R$385&gt;0,Stats!C49+Stats!C50,0)</f>
        <v>4.9901600000000004</v>
      </c>
      <c r="D51" s="231">
        <f>IF(Skills!$R$386&gt;0,Stats!D49+Stats!D50,0)</f>
        <v>4.9901499999999999</v>
      </c>
      <c r="E51" s="231">
        <f>IF(Skills!$R$387&gt;0,Stats!E49+Stats!E50,0)</f>
        <v>4.9901400000000002</v>
      </c>
      <c r="F51" s="231">
        <f>IF(Skills!$R$388&gt;0,Stats!F49+Stats!F50,0)</f>
        <v>4.9900900000000004</v>
      </c>
      <c r="G51" s="231">
        <f>IF(Skills!$R$389&gt;0,Stats!G49+Stats!G50,0)</f>
        <v>4.9900799999999998</v>
      </c>
      <c r="H51" s="231">
        <f>IF(Skills!$R$390&gt;0,Stats!H49+Stats!H50,0)</f>
        <v>4.9900700000000002</v>
      </c>
      <c r="I51" s="231">
        <f>IF(Skills!$R$391&gt;0,Stats!I49+Stats!I50,0)</f>
        <v>4.9900600000000006</v>
      </c>
      <c r="K51" s="238" t="s">
        <v>3520</v>
      </c>
      <c r="L51" s="112">
        <f>IF(K51="","",VLOOKUP(K51,Taulukko7[#All],2,FALSE))</f>
        <v>-10</v>
      </c>
      <c r="M51" s="151" t="str">
        <f>IF(K51="","",VLOOKUP(K51,TF!$E$1:$H$206,4,0))</f>
        <v>Physical</v>
      </c>
      <c r="O51" s="80"/>
    </row>
    <row r="52" spans="1:16" ht="13.35" customHeight="1" x14ac:dyDescent="0.2">
      <c r="I52" s="151"/>
      <c r="K52" s="238" t="s">
        <v>3867</v>
      </c>
      <c r="L52" s="112">
        <f>IF(K52="","",VLOOKUP(K52,Taulukko7[#All],2,FALSE))</f>
        <v>-20</v>
      </c>
      <c r="M52" s="151" t="str">
        <f>IF(K52="","",VLOOKUP(K52,TF!$E$1:$H$206,4,0))</f>
        <v>Special</v>
      </c>
      <c r="O52" s="80"/>
    </row>
    <row r="53" spans="1:16" ht="13.35" customHeight="1" x14ac:dyDescent="0.2">
      <c r="A53" s="215" t="s">
        <v>318</v>
      </c>
      <c r="B53" s="201"/>
      <c r="C53" s="197">
        <f>IF(C49&lt;0.01,0,IF(C48=Skills!$B$131,$I$15,IF(C48=Skills!$B$132,$I$15,IF(C48=Skills!$B$133,$I$15,IF(C48=Skills!$B$134,$I$15,IF(C48=Skills!$B$135,$I$15,$I$19))))))</f>
        <v>8</v>
      </c>
      <c r="D53" s="197">
        <f>IF(D49&lt;0.01,0,IF(D48=Skills!$B$131,$I$15,IF(D48=Skills!$B$132,$I$15,IF(D48=Skills!$B$133,$I$15,IF(D48=Skills!$B$134,$I$15,IF(D48=Skills!$B$135,$I$15,$I$19))))))</f>
        <v>8</v>
      </c>
      <c r="E53" s="197">
        <f>IF(E49&lt;0.01,0,IF(E48=Skills!$B$131,$I$15,IF(E48=Skills!$B$132,$I$15,IF(E48=Skills!$B$133,$I$15,IF(E48=Skills!$B$134,$I$15,IF(E48=Skills!$B$135,$I$15,$I$19))))))</f>
        <v>8</v>
      </c>
      <c r="F53" s="197">
        <f>IF(F49&lt;0.01,0,IF(F48=Skills!$B$131,$I$15,IF(F48=Skills!$B$132,$I$15,IF(F48=Skills!$B$133,$I$15,IF(F48=Skills!$B$134,$I$15,IF(F48=Skills!$B$135,$I$15,$I$19))))))</f>
        <v>8</v>
      </c>
      <c r="G53" s="197">
        <f>IF(G49&lt;0.01,0,IF(G48=Skills!$B$131,$I$15,IF(G48=Skills!$B$132,$I$15,IF(G48=Skills!$B$133,$I$15,IF(G48=Skills!$B$134,$I$15,IF(G48=Skills!$B$135,$I$15,$I$19))))))</f>
        <v>8</v>
      </c>
      <c r="H53" s="197">
        <f>IF(H49&lt;0.01,0,IF(H48=Skills!$B$131,$I$15,IF(H48=Skills!$B$132,$I$15,IF(H48=Skills!$B$133,$I$15,IF(H48=Skills!$B$134,$I$15,IF(H48=Skills!$B$135,$I$15,$I$19))))))</f>
        <v>8</v>
      </c>
      <c r="I53" s="197">
        <f>IF(I49&lt;0.01,0,IF(I48=Skills!$B$131,$I$15,IF(I48=Skills!$B$132,$I$15,IF(I48=Skills!$B$133,$I$15,IF(I48=Skills!$B$134,$I$15,IF(I48=Skills!$B$135,$I$15,$I$19))))))</f>
        <v>8</v>
      </c>
      <c r="K53" s="238" t="s">
        <v>3674</v>
      </c>
      <c r="L53" s="112">
        <f>IF(K53="","",VLOOKUP(K53,Taulukko7[#All],2,FALSE))</f>
        <v>-5</v>
      </c>
      <c r="M53" s="151" t="str">
        <f>IF(K53="","",VLOOKUP(K53,TF!$E$1:$H$206,4,0))</f>
        <v>Mental</v>
      </c>
      <c r="O53" s="80"/>
    </row>
    <row r="54" spans="1:16" ht="13.35" customHeight="1" x14ac:dyDescent="0.2">
      <c r="A54" s="215" t="s">
        <v>319</v>
      </c>
      <c r="B54" s="201"/>
      <c r="C54" s="197"/>
      <c r="D54" s="197"/>
      <c r="E54" s="197"/>
      <c r="F54" s="197"/>
      <c r="G54" s="197"/>
      <c r="H54" s="197"/>
      <c r="I54" s="197"/>
      <c r="K54" s="238" t="s">
        <v>327</v>
      </c>
      <c r="L54" s="112">
        <f>IF(K54="","",VLOOKUP(K54,Taulukko7[#All],2,FALSE))</f>
        <v>-10</v>
      </c>
      <c r="M54" s="151" t="str">
        <f>IF(K54="","",VLOOKUP(K54,TF!$E$1:$H$206,4,0))</f>
        <v>Mental</v>
      </c>
      <c r="O54" s="80"/>
    </row>
    <row r="55" spans="1:16" ht="13.35" customHeight="1" x14ac:dyDescent="0.2">
      <c r="A55" s="187" t="s">
        <v>320</v>
      </c>
      <c r="B55" s="117"/>
      <c r="C55" s="232">
        <f t="shared" ref="C55:I55" si="6">C53+C54</f>
        <v>8</v>
      </c>
      <c r="D55" s="232">
        <f t="shared" si="6"/>
        <v>8</v>
      </c>
      <c r="E55" s="232">
        <f t="shared" si="6"/>
        <v>8</v>
      </c>
      <c r="F55" s="232">
        <f t="shared" si="6"/>
        <v>8</v>
      </c>
      <c r="G55" s="232">
        <f t="shared" si="6"/>
        <v>8</v>
      </c>
      <c r="H55" s="232">
        <f t="shared" si="6"/>
        <v>8</v>
      </c>
      <c r="I55" s="232">
        <f t="shared" si="6"/>
        <v>8</v>
      </c>
      <c r="K55" s="242" t="s">
        <v>3629</v>
      </c>
      <c r="L55" s="124">
        <f>IF(K55="","",VLOOKUP(K55,Taulukko7[#All],2,FALSE))</f>
        <v>-15</v>
      </c>
      <c r="M55" s="360" t="str">
        <f>IF(K55="","",VLOOKUP(K55,TF!$E$1:$H$206,4,0))</f>
        <v>Physical</v>
      </c>
      <c r="O55" s="80"/>
    </row>
    <row r="56" spans="1:16" ht="13.35" customHeight="1" x14ac:dyDescent="0.2">
      <c r="A56" s="233" t="s">
        <v>321</v>
      </c>
      <c r="B56" s="80" t="s">
        <v>322</v>
      </c>
      <c r="C56" s="80" t="s">
        <v>323</v>
      </c>
      <c r="I56" s="151"/>
      <c r="K56" s="301" t="s">
        <v>207</v>
      </c>
      <c r="L56" s="347">
        <f>SUM(L51:L55)</f>
        <v>-60</v>
      </c>
      <c r="M56" s="207"/>
      <c r="O56" s="243"/>
    </row>
    <row r="57" spans="1:16" ht="13.35" customHeight="1" x14ac:dyDescent="0.2">
      <c r="A57" s="215"/>
      <c r="B57" s="201" t="s">
        <v>322</v>
      </c>
      <c r="C57" s="201" t="s">
        <v>324</v>
      </c>
      <c r="D57" s="201"/>
      <c r="E57" s="201"/>
      <c r="F57" s="234"/>
      <c r="G57" s="234"/>
      <c r="H57" s="201"/>
      <c r="I57" s="229"/>
    </row>
    <row r="58" spans="1:16" ht="13.35" customHeight="1" x14ac:dyDescent="0.2">
      <c r="A58" s="215"/>
      <c r="B58" s="234"/>
      <c r="C58" s="201"/>
      <c r="D58" s="201"/>
      <c r="E58" s="201"/>
      <c r="F58" s="234"/>
      <c r="G58" s="234"/>
      <c r="H58" s="201"/>
      <c r="I58" s="229"/>
      <c r="K58" s="352" t="s">
        <v>337</v>
      </c>
      <c r="L58" s="353" t="s">
        <v>325</v>
      </c>
      <c r="M58" s="354" t="s">
        <v>338</v>
      </c>
      <c r="O58" s="243"/>
    </row>
    <row r="59" spans="1:16" ht="13.35" customHeight="1" x14ac:dyDescent="0.2">
      <c r="A59" s="202" t="s">
        <v>328</v>
      </c>
      <c r="B59" s="239"/>
      <c r="C59" s="239"/>
      <c r="D59" s="239"/>
      <c r="E59" s="240" t="s">
        <v>329</v>
      </c>
      <c r="F59" s="239" t="str">
        <f>VLOOKUP(L9,Professions!DH62:DM74,2)</f>
        <v>Upper Middle Class</v>
      </c>
      <c r="G59" s="239"/>
      <c r="H59" s="239" t="str">
        <f>VLOOKUP(L9,Professions!DH62:DM74,6)</f>
        <v>Knight, Dame, Prior</v>
      </c>
      <c r="I59" s="241"/>
      <c r="K59" s="355" t="s">
        <v>3909</v>
      </c>
      <c r="L59" s="243">
        <f>IF(K59="","",VLOOKUP(K59,Taulukko5[#All],2,0))</f>
        <v>15</v>
      </c>
      <c r="M59" s="356" t="str">
        <f>IF(K59="","",VLOOKUP(K59,Taulukko5[#All],4,0))</f>
        <v>Special, max 1</v>
      </c>
      <c r="N59" s="207"/>
      <c r="O59" s="243"/>
    </row>
    <row r="60" spans="1:16" ht="13.35" customHeight="1" x14ac:dyDescent="0.2">
      <c r="A60" s="215"/>
      <c r="B60" s="201"/>
      <c r="C60" s="201"/>
      <c r="D60" s="201"/>
      <c r="E60" s="201"/>
      <c r="F60" s="201"/>
      <c r="G60" s="201"/>
      <c r="H60" s="201"/>
      <c r="I60" s="229"/>
      <c r="K60" s="355" t="s">
        <v>5024</v>
      </c>
      <c r="L60" s="243">
        <f>IF(K60="","",VLOOKUP(K60,Taulukko5[#All],2,0))</f>
        <v>6</v>
      </c>
      <c r="M60" s="356" t="str">
        <f>IF(K60="","",VLOOKUP(K60,Taulukko5[#All],4,0))</f>
        <v>Training, no limit</v>
      </c>
      <c r="N60" s="207"/>
      <c r="O60" s="243"/>
    </row>
    <row r="61" spans="1:16" ht="13.35" customHeight="1" x14ac:dyDescent="0.2">
      <c r="A61" s="215"/>
      <c r="B61" s="201"/>
      <c r="C61" s="201"/>
      <c r="D61" s="201"/>
      <c r="E61" s="201"/>
      <c r="F61" s="201"/>
      <c r="G61" s="201"/>
      <c r="H61" s="201"/>
      <c r="I61" s="229"/>
      <c r="K61" s="355" t="s">
        <v>3727</v>
      </c>
      <c r="L61" s="243">
        <f>IF(K61="","",VLOOKUP(K61,Taulukko5[#All],2,0))</f>
        <v>15</v>
      </c>
      <c r="M61" s="356" t="str">
        <f>IF(K61="","",VLOOKUP(K61,Taulukko5[#All],4,0))</f>
        <v>Physical, max 3</v>
      </c>
      <c r="N61" s="207"/>
      <c r="O61" s="243"/>
    </row>
    <row r="62" spans="1:16" ht="13.35" customHeight="1" x14ac:dyDescent="0.2">
      <c r="A62" s="215"/>
      <c r="B62" s="201"/>
      <c r="C62" s="201"/>
      <c r="D62" s="201"/>
      <c r="E62" s="201"/>
      <c r="F62" s="201"/>
      <c r="G62" s="201"/>
      <c r="H62" s="201"/>
      <c r="I62" s="229"/>
      <c r="K62" s="355" t="s">
        <v>3897</v>
      </c>
      <c r="L62" s="243">
        <f>IF(K62="","",VLOOKUP(K62,Taulukko5[#All],2,0))</f>
        <v>13</v>
      </c>
      <c r="M62" s="356" t="str">
        <f>IF(K62="","",VLOOKUP(K62,Taulukko5[#All],4,0))</f>
        <v>Special, max 1</v>
      </c>
      <c r="N62" s="207"/>
      <c r="O62" s="243">
        <f>SUM(O51:O61)</f>
        <v>0</v>
      </c>
    </row>
    <row r="63" spans="1:16" ht="13.35" customHeight="1" x14ac:dyDescent="0.2">
      <c r="A63" s="215"/>
      <c r="B63" s="201"/>
      <c r="C63" s="201"/>
      <c r="D63" s="201"/>
      <c r="E63" s="201"/>
      <c r="F63" s="201"/>
      <c r="G63" s="201"/>
      <c r="H63" s="201"/>
      <c r="I63" s="229"/>
      <c r="K63" s="355" t="s">
        <v>3518</v>
      </c>
      <c r="L63" s="243">
        <f>IF(K63="","",VLOOKUP(K63,Taulukko5[#All],2,0))</f>
        <v>7</v>
      </c>
      <c r="M63" s="356" t="str">
        <f>IF(K63="","",VLOOKUP(K63,Taulukko5[#All],4,0))</f>
        <v>Training, no limit</v>
      </c>
      <c r="N63" s="207"/>
    </row>
    <row r="64" spans="1:16" ht="13.35" customHeight="1" x14ac:dyDescent="0.2">
      <c r="A64" s="244" t="s">
        <v>331</v>
      </c>
      <c r="B64" s="184"/>
      <c r="C64" s="106" t="s">
        <v>332</v>
      </c>
      <c r="D64" s="106" t="s">
        <v>333</v>
      </c>
      <c r="E64" s="106" t="s">
        <v>334</v>
      </c>
      <c r="F64" s="245" t="s">
        <v>335</v>
      </c>
      <c r="G64" s="245"/>
      <c r="H64" s="245"/>
      <c r="I64" s="106" t="s">
        <v>336</v>
      </c>
      <c r="K64" s="355" t="s">
        <v>3528</v>
      </c>
      <c r="L64" s="243">
        <f>IF(K64="","",VLOOKUP(K64,Taulukko5[#All],2,0))</f>
        <v>8</v>
      </c>
      <c r="M64" s="356" t="str">
        <f>IF(K64="","",VLOOKUP(K64,Taulukko5[#All],4,0))</f>
        <v>Training, no limit</v>
      </c>
      <c r="N64" s="207"/>
    </row>
    <row r="65" spans="1:22" ht="13.35" customHeight="1" x14ac:dyDescent="0.2">
      <c r="A65" s="230" t="s">
        <v>339</v>
      </c>
      <c r="B65" s="234"/>
      <c r="C65" s="111"/>
      <c r="D65" s="246"/>
      <c r="E65" s="246"/>
      <c r="F65" s="201"/>
      <c r="G65" s="201"/>
      <c r="H65" s="201"/>
      <c r="I65" s="246"/>
      <c r="K65" s="355" t="s">
        <v>3593</v>
      </c>
      <c r="L65" s="243">
        <f>IF(K65="","",VLOOKUP(K65,Taulukko5[#All],2,0))</f>
        <v>8</v>
      </c>
      <c r="M65" s="356" t="str">
        <f>IF(K65="","",VLOOKUP(K65,Taulukko5[#All],4,0))</f>
        <v>Training, no limit</v>
      </c>
      <c r="N65" s="207"/>
    </row>
    <row r="66" spans="1:22" ht="13.35" customHeight="1" x14ac:dyDescent="0.2">
      <c r="A66" s="230" t="s">
        <v>341</v>
      </c>
      <c r="B66" s="234"/>
      <c r="C66" s="111">
        <f>VLOOKUP(Stats!$F$59,Professions!$DI$62:$DL$72,4,0)</f>
        <v>2</v>
      </c>
      <c r="D66" s="246"/>
      <c r="E66" s="246"/>
      <c r="F66" s="201"/>
      <c r="G66" s="201"/>
      <c r="H66" s="201"/>
      <c r="I66" s="246"/>
      <c r="K66" s="357" t="s">
        <v>3624</v>
      </c>
      <c r="L66" s="358">
        <f>IF(K66="","",VLOOKUP(K66,Taulukko5[#All],2,0))</f>
        <v>3</v>
      </c>
      <c r="M66" s="359" t="str">
        <f>IF(K66="","",VLOOKUP(K66,Taulukko5[#All],4,0))</f>
        <v>Training, no limit</v>
      </c>
      <c r="N66" s="207"/>
    </row>
    <row r="67" spans="1:22" ht="13.35" customHeight="1" x14ac:dyDescent="0.2">
      <c r="A67" s="230" t="s">
        <v>342</v>
      </c>
      <c r="B67" s="234"/>
      <c r="C67" s="111">
        <f>VLOOKUP(Stats!$F$59,Professions!$DI$62:$DL$72,3,0)</f>
        <v>0</v>
      </c>
      <c r="D67" s="246"/>
      <c r="E67" s="246"/>
      <c r="F67" s="201"/>
      <c r="G67" s="201"/>
      <c r="H67" s="201"/>
      <c r="I67" s="246"/>
      <c r="K67" s="207"/>
      <c r="L67" s="112"/>
      <c r="M67" s="207"/>
    </row>
    <row r="68" spans="1:22" ht="13.35" customHeight="1" x14ac:dyDescent="0.2">
      <c r="A68" s="230" t="s">
        <v>343</v>
      </c>
      <c r="B68" s="234"/>
      <c r="C68" s="111"/>
      <c r="D68" s="246"/>
      <c r="E68" s="246"/>
      <c r="F68" s="201"/>
      <c r="G68" s="201"/>
      <c r="H68" s="201"/>
      <c r="I68" s="246"/>
      <c r="K68" s="348" t="s">
        <v>5014</v>
      </c>
      <c r="L68" s="269">
        <f>SUM(L59:L66)</f>
        <v>75</v>
      </c>
      <c r="M68" s="349" t="s">
        <v>5016</v>
      </c>
      <c r="N68" s="269">
        <f>L5</f>
        <v>50</v>
      </c>
    </row>
    <row r="69" spans="1:22" ht="13.35" customHeight="1" x14ac:dyDescent="0.2">
      <c r="A69" s="230" t="s">
        <v>344</v>
      </c>
      <c r="B69" s="234"/>
      <c r="C69" s="111">
        <f>VLOOKUP(Stats!$F$59,Professions!$DI$62:$DL$72,2,0)</f>
        <v>0</v>
      </c>
      <c r="D69" s="246"/>
      <c r="E69" s="246"/>
      <c r="F69" s="201"/>
      <c r="G69" s="201"/>
      <c r="H69" s="201"/>
      <c r="I69" s="246"/>
      <c r="K69" s="348" t="s">
        <v>5015</v>
      </c>
      <c r="L69" s="269">
        <f>L56</f>
        <v>-60</v>
      </c>
      <c r="M69" s="350" t="s">
        <v>348</v>
      </c>
      <c r="N69" s="306">
        <f>N68-L56-L68</f>
        <v>35</v>
      </c>
    </row>
    <row r="70" spans="1:22" ht="13.35" customHeight="1" x14ac:dyDescent="0.2">
      <c r="A70" s="230" t="s">
        <v>345</v>
      </c>
      <c r="B70" s="234"/>
      <c r="C70" s="111"/>
      <c r="D70" s="246"/>
      <c r="E70" s="246"/>
      <c r="F70" s="201"/>
      <c r="G70" s="201"/>
      <c r="H70" s="201"/>
      <c r="I70" s="246"/>
      <c r="M70" s="207"/>
    </row>
    <row r="71" spans="1:22" ht="13.35" customHeight="1" x14ac:dyDescent="0.2">
      <c r="A71" s="230"/>
      <c r="B71" s="234"/>
      <c r="C71" s="173"/>
      <c r="D71" s="201"/>
      <c r="E71" s="201"/>
      <c r="F71" s="201"/>
      <c r="G71" s="201"/>
      <c r="H71" s="201"/>
      <c r="I71" s="229"/>
      <c r="K71" s="417" t="s">
        <v>5018</v>
      </c>
      <c r="L71" s="418"/>
      <c r="M71" s="418"/>
      <c r="N71" s="418"/>
      <c r="O71" s="418"/>
      <c r="P71" s="418"/>
      <c r="Q71" s="418"/>
      <c r="R71" s="418"/>
      <c r="S71" s="418"/>
      <c r="T71" s="418"/>
      <c r="U71" s="418"/>
      <c r="V71" s="419"/>
    </row>
    <row r="72" spans="1:22" ht="13.35" customHeight="1" x14ac:dyDescent="0.2">
      <c r="A72" s="244" t="s">
        <v>346</v>
      </c>
      <c r="B72" s="247"/>
      <c r="C72" s="248"/>
      <c r="D72" s="249" t="s">
        <v>325</v>
      </c>
      <c r="E72" s="248"/>
      <c r="F72" s="244" t="s">
        <v>347</v>
      </c>
      <c r="G72" s="248"/>
      <c r="H72" s="248"/>
      <c r="I72" s="168" t="s">
        <v>325</v>
      </c>
      <c r="K72" s="351" t="s">
        <v>5019</v>
      </c>
      <c r="L72" s="420" t="s">
        <v>3514</v>
      </c>
      <c r="M72" s="421"/>
      <c r="N72" s="421"/>
      <c r="O72" s="421"/>
      <c r="P72" s="421"/>
      <c r="Q72" s="421"/>
      <c r="R72" s="421"/>
      <c r="S72" s="421"/>
      <c r="T72" s="421"/>
      <c r="U72" s="421"/>
      <c r="V72" s="422"/>
    </row>
    <row r="73" spans="1:22" ht="13.35" customHeight="1" x14ac:dyDescent="0.2">
      <c r="A73" s="215" t="str">
        <f t="shared" ref="A73:A80" si="7">K59</f>
        <v>Summon</v>
      </c>
      <c r="B73" s="234"/>
      <c r="C73" s="201"/>
      <c r="D73" s="173">
        <f t="shared" ref="D73:D80" si="8">L59</f>
        <v>15</v>
      </c>
      <c r="E73" s="201"/>
      <c r="F73" s="215" t="str">
        <f>K51</f>
        <v>Age</v>
      </c>
      <c r="G73" s="201"/>
      <c r="H73" s="201"/>
      <c r="I73" s="250">
        <f>L51</f>
        <v>-10</v>
      </c>
      <c r="K73" s="414" t="str">
        <f>IF(K51="","",K51)</f>
        <v>Age</v>
      </c>
      <c r="L73" s="405" t="str">
        <f>IF(K73="","",VLOOKUP(K73,TF!E4:G188,3,FALSE))</f>
        <v>You have reached at least middle age for your race. You must roll stat deterioration rolls each year. You are older, probably wiser, and a little slower.</v>
      </c>
      <c r="M73" s="406"/>
      <c r="N73" s="406"/>
      <c r="O73" s="406"/>
      <c r="P73" s="406"/>
      <c r="Q73" s="406"/>
      <c r="R73" s="406"/>
      <c r="S73" s="406"/>
      <c r="T73" s="406"/>
      <c r="U73" s="406"/>
      <c r="V73" s="407"/>
    </row>
    <row r="74" spans="1:22" ht="13.35" customHeight="1" x14ac:dyDescent="0.2">
      <c r="A74" s="215" t="str">
        <f t="shared" si="7"/>
        <v>Arcane Discovery (minor)</v>
      </c>
      <c r="B74" s="234"/>
      <c r="C74" s="201"/>
      <c r="D74" s="173">
        <f t="shared" si="8"/>
        <v>6</v>
      </c>
      <c r="E74" s="201"/>
      <c r="F74" s="215" t="str">
        <f>K52</f>
        <v>Wrath</v>
      </c>
      <c r="G74" s="201"/>
      <c r="H74" s="201"/>
      <c r="I74" s="250">
        <f>L52</f>
        <v>-20</v>
      </c>
      <c r="K74" s="415"/>
      <c r="L74" s="408"/>
      <c r="M74" s="409"/>
      <c r="N74" s="409"/>
      <c r="O74" s="409"/>
      <c r="P74" s="409"/>
      <c r="Q74" s="409"/>
      <c r="R74" s="409"/>
      <c r="S74" s="409"/>
      <c r="T74" s="409"/>
      <c r="U74" s="409"/>
      <c r="V74" s="410"/>
    </row>
    <row r="75" spans="1:22" ht="13.35" customHeight="1" x14ac:dyDescent="0.2">
      <c r="A75" s="215" t="str">
        <f t="shared" si="7"/>
        <v>Regeneration (major, 1/rnd)</v>
      </c>
      <c r="B75" s="234"/>
      <c r="C75" s="201"/>
      <c r="D75" s="173">
        <f t="shared" si="8"/>
        <v>15</v>
      </c>
      <c r="E75" s="201"/>
      <c r="F75" s="215" t="str">
        <f>K53</f>
        <v>Delusionary (lesser)</v>
      </c>
      <c r="G75" s="201"/>
      <c r="H75" s="201"/>
      <c r="I75" s="250">
        <f>L53</f>
        <v>-5</v>
      </c>
      <c r="K75" s="415"/>
      <c r="L75" s="408"/>
      <c r="M75" s="409"/>
      <c r="N75" s="409"/>
      <c r="O75" s="409"/>
      <c r="P75" s="409"/>
      <c r="Q75" s="409"/>
      <c r="R75" s="409"/>
      <c r="S75" s="409"/>
      <c r="T75" s="409"/>
      <c r="U75" s="409"/>
      <c r="V75" s="410"/>
    </row>
    <row r="76" spans="1:22" ht="13.35" customHeight="1" x14ac:dyDescent="0.2">
      <c r="A76" s="215" t="str">
        <f t="shared" si="7"/>
        <v>Microscopic Vision</v>
      </c>
      <c r="B76" s="234"/>
      <c r="C76" s="201"/>
      <c r="D76" s="173">
        <f t="shared" si="8"/>
        <v>13</v>
      </c>
      <c r="E76" s="201"/>
      <c r="F76" s="215" t="str">
        <f>K55</f>
        <v>Unique Looks (major)</v>
      </c>
      <c r="G76" s="201"/>
      <c r="H76" s="201"/>
      <c r="I76" s="250">
        <f>L55</f>
        <v>-15</v>
      </c>
      <c r="K76" s="416"/>
      <c r="L76" s="411"/>
      <c r="M76" s="412"/>
      <c r="N76" s="412"/>
      <c r="O76" s="412"/>
      <c r="P76" s="412"/>
      <c r="Q76" s="412"/>
      <c r="R76" s="412"/>
      <c r="S76" s="412"/>
      <c r="T76" s="412"/>
      <c r="U76" s="412"/>
      <c r="V76" s="413"/>
    </row>
    <row r="77" spans="1:22" ht="13.35" customHeight="1" x14ac:dyDescent="0.2">
      <c r="A77" s="215" t="str">
        <f t="shared" si="7"/>
        <v>Acrobat</v>
      </c>
      <c r="B77" s="234"/>
      <c r="C77" s="201"/>
      <c r="D77" s="173">
        <f t="shared" si="8"/>
        <v>7</v>
      </c>
      <c r="E77" s="201"/>
      <c r="F77" s="215"/>
      <c r="G77" s="201"/>
      <c r="H77" s="201"/>
      <c r="I77" s="229"/>
      <c r="K77" s="414" t="str">
        <f>K52</f>
        <v>Wrath</v>
      </c>
      <c r="L77" s="405" t="str">
        <f>IF(K77="","",VLOOKUP(K77,TF!E8:G192,3,FALSE))</f>
        <v>You have earned the disfavor of a particular god,demi-god, or equally powerful entity. The reasons for thisare left up to the GM to decide, but they should involvesome conscious action you did to anger the god. The godwill do his best to make your life as miserable as possible.A paladin may be sent on a quest to slay you, a god ofweather may make it always rain on you, a forest wouldnot be a safe place if you enraged a goddess of nature,etc. The exact specifics are left up to the GM. Howeverthe god would rarely, if ever, come down and physicallychallenge the offender (after all, that is what his legionsof followers are for).</v>
      </c>
      <c r="M77" s="406"/>
      <c r="N77" s="406"/>
      <c r="O77" s="406"/>
      <c r="P77" s="406"/>
      <c r="Q77" s="406"/>
      <c r="R77" s="406"/>
      <c r="S77" s="406"/>
      <c r="T77" s="406"/>
      <c r="U77" s="406"/>
      <c r="V77" s="407"/>
    </row>
    <row r="78" spans="1:22" ht="13.35" customHeight="1" x14ac:dyDescent="0.2">
      <c r="A78" s="215" t="str">
        <f t="shared" si="7"/>
        <v>Animal Handler</v>
      </c>
      <c r="B78" s="234"/>
      <c r="C78" s="201"/>
      <c r="D78" s="173">
        <f t="shared" si="8"/>
        <v>8</v>
      </c>
      <c r="E78" s="201"/>
      <c r="F78" s="215"/>
      <c r="G78" s="201"/>
      <c r="H78" s="201"/>
      <c r="I78" s="229"/>
      <c r="K78" s="415"/>
      <c r="L78" s="408"/>
      <c r="M78" s="409"/>
      <c r="N78" s="409"/>
      <c r="O78" s="409"/>
      <c r="P78" s="409"/>
      <c r="Q78" s="409"/>
      <c r="R78" s="409"/>
      <c r="S78" s="409"/>
      <c r="T78" s="409"/>
      <c r="U78" s="409"/>
      <c r="V78" s="410"/>
    </row>
    <row r="79" spans="1:22" ht="13.35" customHeight="1" x14ac:dyDescent="0.2">
      <c r="A79" s="215" t="str">
        <f t="shared" si="7"/>
        <v>Natural Archer</v>
      </c>
      <c r="B79" s="234"/>
      <c r="C79" s="201"/>
      <c r="D79" s="173">
        <f t="shared" si="8"/>
        <v>8</v>
      </c>
      <c r="E79" s="201"/>
      <c r="F79" s="215"/>
      <c r="G79" s="201"/>
      <c r="H79" s="201"/>
      <c r="I79" s="229"/>
      <c r="K79" s="415"/>
      <c r="L79" s="408"/>
      <c r="M79" s="409"/>
      <c r="N79" s="409"/>
      <c r="O79" s="409"/>
      <c r="P79" s="409"/>
      <c r="Q79" s="409"/>
      <c r="R79" s="409"/>
      <c r="S79" s="409"/>
      <c r="T79" s="409"/>
      <c r="U79" s="409"/>
      <c r="V79" s="410"/>
    </row>
    <row r="80" spans="1:22" ht="13.35" customHeight="1" x14ac:dyDescent="0.2">
      <c r="A80" s="215" t="str">
        <f t="shared" si="7"/>
        <v>Swift Dresser</v>
      </c>
      <c r="B80" s="234"/>
      <c r="C80" s="201"/>
      <c r="D80" s="173">
        <f t="shared" si="8"/>
        <v>3</v>
      </c>
      <c r="E80" s="201"/>
      <c r="F80" s="215"/>
      <c r="G80" s="201"/>
      <c r="H80" s="201"/>
      <c r="I80" s="229"/>
      <c r="K80" s="416"/>
      <c r="L80" s="411"/>
      <c r="M80" s="412"/>
      <c r="N80" s="412"/>
      <c r="O80" s="412"/>
      <c r="P80" s="412"/>
      <c r="Q80" s="412"/>
      <c r="R80" s="412"/>
      <c r="S80" s="412"/>
      <c r="T80" s="412"/>
      <c r="U80" s="412"/>
      <c r="V80" s="413"/>
    </row>
    <row r="81" spans="1:22" ht="13.35" customHeight="1" x14ac:dyDescent="0.2">
      <c r="A81" s="215"/>
      <c r="B81" s="234"/>
      <c r="C81" s="201"/>
      <c r="D81" s="201"/>
      <c r="E81" s="201"/>
      <c r="F81" s="251"/>
      <c r="G81" s="252"/>
      <c r="H81" s="169"/>
      <c r="I81" s="141"/>
      <c r="K81" s="414" t="str">
        <f>K53</f>
        <v>Delusionary (lesser)</v>
      </c>
      <c r="L81" s="405" t="str">
        <f>IF(K81="","",VLOOKUP(K81,TF!E12:G196,3,FALSE))</f>
        <v>You suffer from delusions. This delusion is mostly minor (e.g., the planet is flat). The GM must approve any delusion, and you must role play it every time a moment becomes available.</v>
      </c>
      <c r="M81" s="406"/>
      <c r="N81" s="406"/>
      <c r="O81" s="406"/>
      <c r="P81" s="406"/>
      <c r="Q81" s="406"/>
      <c r="R81" s="406"/>
      <c r="S81" s="406"/>
      <c r="T81" s="406"/>
      <c r="U81" s="406"/>
      <c r="V81" s="407"/>
    </row>
    <row r="82" spans="1:22" ht="13.35" customHeight="1" x14ac:dyDescent="0.2">
      <c r="A82" s="215"/>
      <c r="E82" s="112"/>
      <c r="F82" s="253"/>
      <c r="G82" s="201"/>
      <c r="H82" s="201"/>
      <c r="I82" s="229"/>
      <c r="K82" s="415"/>
      <c r="L82" s="408"/>
      <c r="M82" s="409"/>
      <c r="N82" s="409"/>
      <c r="O82" s="409"/>
      <c r="P82" s="409"/>
      <c r="Q82" s="409"/>
      <c r="R82" s="409"/>
      <c r="S82" s="409"/>
      <c r="T82" s="409"/>
      <c r="U82" s="409"/>
      <c r="V82" s="410"/>
    </row>
    <row r="83" spans="1:22" ht="13.35" customHeight="1" x14ac:dyDescent="0.2">
      <c r="A83" s="254" t="s">
        <v>349</v>
      </c>
      <c r="B83" s="255"/>
      <c r="C83" s="255"/>
      <c r="D83" s="255"/>
      <c r="E83" s="255"/>
      <c r="F83" s="255"/>
      <c r="G83" s="255"/>
      <c r="H83" s="167" t="s">
        <v>350</v>
      </c>
      <c r="I83" s="168" t="s">
        <v>351</v>
      </c>
      <c r="K83" s="415"/>
      <c r="L83" s="408"/>
      <c r="M83" s="409"/>
      <c r="N83" s="409"/>
      <c r="O83" s="409"/>
      <c r="P83" s="409"/>
      <c r="Q83" s="409"/>
      <c r="R83" s="409"/>
      <c r="S83" s="409"/>
      <c r="T83" s="409"/>
      <c r="U83" s="409"/>
      <c r="V83" s="410"/>
    </row>
    <row r="84" spans="1:22" ht="13.35" customHeight="1" x14ac:dyDescent="0.2">
      <c r="A84" s="217"/>
      <c r="B84" s="256"/>
      <c r="C84" s="117"/>
      <c r="D84" s="117"/>
      <c r="E84" s="117"/>
      <c r="F84" s="117"/>
      <c r="G84" s="117"/>
      <c r="H84" s="257"/>
      <c r="I84" s="258"/>
      <c r="K84" s="416"/>
      <c r="L84" s="411"/>
      <c r="M84" s="412"/>
      <c r="N84" s="412"/>
      <c r="O84" s="412"/>
      <c r="P84" s="412"/>
      <c r="Q84" s="412"/>
      <c r="R84" s="412"/>
      <c r="S84" s="412"/>
      <c r="T84" s="412"/>
      <c r="U84" s="412"/>
      <c r="V84" s="413"/>
    </row>
    <row r="85" spans="1:22" ht="13.35" customHeight="1" x14ac:dyDescent="0.2">
      <c r="A85" s="215"/>
      <c r="B85" s="234"/>
      <c r="C85" s="201"/>
      <c r="D85" s="201"/>
      <c r="E85" s="201"/>
      <c r="F85" s="201"/>
      <c r="G85" s="201"/>
      <c r="H85" s="111"/>
      <c r="I85" s="250"/>
      <c r="K85" s="414" t="str">
        <f>K54</f>
        <v>Absent-Minded</v>
      </c>
      <c r="L85" s="405" t="str">
        <f>IF(K85="","",VLOOKUP(K85,TF!E16:G200,3,FALSE))</f>
        <v>You have a hard time paying attention to something that is not immediately threatening. You are intensely interested in one item or idea, then you get distracted and focus on something else. You tend to ignore your surroundings when something has attracted your attention. You tend to forget things. To find an item you misplaced, or recall a conversation you recently had, you must roll 1d100 (open-ended) modified by your Me bonus. If the result is over 100, you are successful. If you fail this roll, you cannot remember. You should role play this flaw at all times. Remember that you are neither dumb nor slow, you just have a short attention span and poor concentration.</v>
      </c>
      <c r="M85" s="406"/>
      <c r="N85" s="406"/>
      <c r="O85" s="406"/>
      <c r="P85" s="406"/>
      <c r="Q85" s="406"/>
      <c r="R85" s="406"/>
      <c r="S85" s="406"/>
      <c r="T85" s="406"/>
      <c r="U85" s="406"/>
      <c r="V85" s="407"/>
    </row>
    <row r="86" spans="1:22" ht="13.35" customHeight="1" x14ac:dyDescent="0.2">
      <c r="A86" s="215"/>
      <c r="B86" s="234"/>
      <c r="C86" s="201"/>
      <c r="D86" s="201"/>
      <c r="E86" s="201"/>
      <c r="F86" s="201"/>
      <c r="G86" s="201"/>
      <c r="H86" s="111"/>
      <c r="I86" s="250"/>
      <c r="K86" s="415"/>
      <c r="L86" s="408"/>
      <c r="M86" s="409"/>
      <c r="N86" s="409"/>
      <c r="O86" s="409"/>
      <c r="P86" s="409"/>
      <c r="Q86" s="409"/>
      <c r="R86" s="409"/>
      <c r="S86" s="409"/>
      <c r="T86" s="409"/>
      <c r="U86" s="409"/>
      <c r="V86" s="410"/>
    </row>
    <row r="87" spans="1:22" ht="13.35" customHeight="1" x14ac:dyDescent="0.2">
      <c r="A87" s="215"/>
      <c r="B87" s="234"/>
      <c r="C87" s="201"/>
      <c r="D87" s="201"/>
      <c r="E87" s="201"/>
      <c r="F87" s="201"/>
      <c r="G87" s="201"/>
      <c r="H87" s="111"/>
      <c r="I87" s="250"/>
      <c r="K87" s="415"/>
      <c r="L87" s="408"/>
      <c r="M87" s="409"/>
      <c r="N87" s="409"/>
      <c r="O87" s="409"/>
      <c r="P87" s="409"/>
      <c r="Q87" s="409"/>
      <c r="R87" s="409"/>
      <c r="S87" s="409"/>
      <c r="T87" s="409"/>
      <c r="U87" s="409"/>
      <c r="V87" s="410"/>
    </row>
    <row r="88" spans="1:22" ht="13.35" customHeight="1" x14ac:dyDescent="0.2">
      <c r="A88" s="215"/>
      <c r="B88" s="234"/>
      <c r="C88" s="201"/>
      <c r="D88" s="201"/>
      <c r="E88" s="201"/>
      <c r="F88" s="201"/>
      <c r="G88" s="201"/>
      <c r="H88" s="111"/>
      <c r="I88" s="250"/>
      <c r="K88" s="416"/>
      <c r="L88" s="411"/>
      <c r="M88" s="412"/>
      <c r="N88" s="412"/>
      <c r="O88" s="412"/>
      <c r="P88" s="412"/>
      <c r="Q88" s="412"/>
      <c r="R88" s="412"/>
      <c r="S88" s="412"/>
      <c r="T88" s="412"/>
      <c r="U88" s="412"/>
      <c r="V88" s="413"/>
    </row>
    <row r="89" spans="1:22" ht="13.35" customHeight="1" x14ac:dyDescent="0.2">
      <c r="A89" s="215"/>
      <c r="B89" s="234"/>
      <c r="C89" s="201"/>
      <c r="D89" s="201"/>
      <c r="E89" s="201"/>
      <c r="F89" s="201"/>
      <c r="G89" s="201"/>
      <c r="H89" s="111"/>
      <c r="I89" s="250"/>
      <c r="K89" s="414" t="str">
        <f>K55</f>
        <v>Unique Looks (major)</v>
      </c>
      <c r="L89" s="405" t="str">
        <f>IF(K89="","",VLOOKUP(K89,TF!E20:G204,3,FALSE))</f>
        <v>As the lesser flaw, except you cannot conceal your looks, or there is an immediate and extreme reaction to them. Subtract 2d10 from your Appearance.</v>
      </c>
      <c r="M89" s="406"/>
      <c r="N89" s="406"/>
      <c r="O89" s="406"/>
      <c r="P89" s="406"/>
      <c r="Q89" s="406"/>
      <c r="R89" s="406"/>
      <c r="S89" s="406"/>
      <c r="T89" s="406"/>
      <c r="U89" s="406"/>
      <c r="V89" s="407"/>
    </row>
    <row r="90" spans="1:22" ht="13.35" customHeight="1" x14ac:dyDescent="0.2">
      <c r="A90" s="215"/>
      <c r="B90" s="234"/>
      <c r="C90" s="201"/>
      <c r="D90" s="201"/>
      <c r="E90" s="201"/>
      <c r="F90" s="201"/>
      <c r="G90" s="201"/>
      <c r="H90" s="111"/>
      <c r="I90" s="250"/>
      <c r="K90" s="415"/>
      <c r="L90" s="408"/>
      <c r="M90" s="409"/>
      <c r="N90" s="409"/>
      <c r="O90" s="409"/>
      <c r="P90" s="409"/>
      <c r="Q90" s="409"/>
      <c r="R90" s="409"/>
      <c r="S90" s="409"/>
      <c r="T90" s="409"/>
      <c r="U90" s="409"/>
      <c r="V90" s="410"/>
    </row>
    <row r="91" spans="1:22" ht="13.35" customHeight="1" x14ac:dyDescent="0.2">
      <c r="A91" s="215"/>
      <c r="B91" s="234"/>
      <c r="C91" s="201"/>
      <c r="D91" s="201"/>
      <c r="E91" s="201"/>
      <c r="F91" s="201"/>
      <c r="G91" s="201"/>
      <c r="H91" s="111"/>
      <c r="I91" s="250"/>
      <c r="K91" s="415"/>
      <c r="L91" s="408"/>
      <c r="M91" s="409"/>
      <c r="N91" s="409"/>
      <c r="O91" s="409"/>
      <c r="P91" s="409"/>
      <c r="Q91" s="409"/>
      <c r="R91" s="409"/>
      <c r="S91" s="409"/>
      <c r="T91" s="409"/>
      <c r="U91" s="409"/>
      <c r="V91" s="410"/>
    </row>
    <row r="92" spans="1:22" ht="13.35" customHeight="1" x14ac:dyDescent="0.2">
      <c r="A92" s="215"/>
      <c r="B92" s="234"/>
      <c r="C92" s="201"/>
      <c r="D92" s="201"/>
      <c r="E92" s="201"/>
      <c r="F92" s="201"/>
      <c r="G92" s="201"/>
      <c r="H92" s="111"/>
      <c r="I92" s="250"/>
      <c r="K92" s="416"/>
      <c r="L92" s="411"/>
      <c r="M92" s="412"/>
      <c r="N92" s="412"/>
      <c r="O92" s="412"/>
      <c r="P92" s="412"/>
      <c r="Q92" s="412"/>
      <c r="R92" s="412"/>
      <c r="S92" s="412"/>
      <c r="T92" s="412"/>
      <c r="U92" s="412"/>
      <c r="V92" s="413"/>
    </row>
    <row r="93" spans="1:22" ht="13.35" customHeight="1" x14ac:dyDescent="0.2">
      <c r="A93" s="215"/>
      <c r="B93" s="234"/>
      <c r="C93" s="201"/>
      <c r="D93" s="201"/>
      <c r="E93" s="201"/>
      <c r="F93" s="201"/>
      <c r="G93" s="201"/>
      <c r="H93" s="111"/>
      <c r="I93" s="250"/>
      <c r="K93" s="414" t="str">
        <f>K59</f>
        <v>Summon</v>
      </c>
      <c r="L93" s="405" t="str">
        <f>VLOOKUP(K93,Taulukko5[#All],3,0)</f>
        <v>You may summon a creature to you at anytime. It costs 3d10 exhaustion points and d10 rounds to before the summoned creature arrives (though it only takes one round to issue the summons). You have no control over the summoned creature, but you receive a +20 to any skill that would allow you to direct the summoned creature’s actions. You must determine what category of creature you may summon (e.g., woodland animals, insects, birds, fish, etc.). It is possible that no creature is available to be summoned, depending on your current location (as the creature must already exist in some nearby locale). You may use this summoning ability once per five levels of experience (round all fractions up). The summoned creature will remain nearby for at least an hour, or until it feels threatened (at which point it will run, back to where it was summoned from).</v>
      </c>
      <c r="M93" s="406"/>
      <c r="N93" s="406"/>
      <c r="O93" s="406"/>
      <c r="P93" s="406"/>
      <c r="Q93" s="406"/>
      <c r="R93" s="406"/>
      <c r="S93" s="406"/>
      <c r="T93" s="406"/>
      <c r="U93" s="406"/>
      <c r="V93" s="407"/>
    </row>
    <row r="94" spans="1:22" ht="13.35" customHeight="1" x14ac:dyDescent="0.2">
      <c r="A94" s="215"/>
      <c r="B94" s="234"/>
      <c r="C94" s="201"/>
      <c r="D94" s="201"/>
      <c r="E94" s="201"/>
      <c r="F94" s="201"/>
      <c r="G94" s="201"/>
      <c r="H94" s="111"/>
      <c r="I94" s="250"/>
      <c r="K94" s="415"/>
      <c r="L94" s="408"/>
      <c r="M94" s="409"/>
      <c r="N94" s="409"/>
      <c r="O94" s="409"/>
      <c r="P94" s="409"/>
      <c r="Q94" s="409"/>
      <c r="R94" s="409"/>
      <c r="S94" s="409"/>
      <c r="T94" s="409"/>
      <c r="U94" s="409"/>
      <c r="V94" s="410"/>
    </row>
    <row r="95" spans="1:22" ht="13.35" customHeight="1" x14ac:dyDescent="0.2">
      <c r="A95" s="215"/>
      <c r="B95" s="234"/>
      <c r="C95" s="201"/>
      <c r="D95" s="201"/>
      <c r="E95" s="201"/>
      <c r="F95" s="201"/>
      <c r="G95" s="201"/>
      <c r="H95" s="111"/>
      <c r="I95" s="250"/>
      <c r="K95" s="415"/>
      <c r="L95" s="408"/>
      <c r="M95" s="409"/>
      <c r="N95" s="409"/>
      <c r="O95" s="409"/>
      <c r="P95" s="409"/>
      <c r="Q95" s="409"/>
      <c r="R95" s="409"/>
      <c r="S95" s="409"/>
      <c r="T95" s="409"/>
      <c r="U95" s="409"/>
      <c r="V95" s="410"/>
    </row>
    <row r="96" spans="1:22" ht="13.35" customHeight="1" x14ac:dyDescent="0.2">
      <c r="A96" s="215"/>
      <c r="B96" s="234"/>
      <c r="C96" s="201"/>
      <c r="D96" s="201"/>
      <c r="E96" s="201"/>
      <c r="F96" s="201"/>
      <c r="G96" s="201"/>
      <c r="H96" s="111"/>
      <c r="I96" s="250"/>
      <c r="K96" s="416"/>
      <c r="L96" s="411"/>
      <c r="M96" s="412"/>
      <c r="N96" s="412"/>
      <c r="O96" s="412"/>
      <c r="P96" s="412"/>
      <c r="Q96" s="412"/>
      <c r="R96" s="412"/>
      <c r="S96" s="412"/>
      <c r="T96" s="412"/>
      <c r="U96" s="412"/>
      <c r="V96" s="413"/>
    </row>
    <row r="97" spans="1:22" ht="13.35" customHeight="1" x14ac:dyDescent="0.2">
      <c r="A97" s="215"/>
      <c r="B97" s="234"/>
      <c r="C97" s="201"/>
      <c r="D97" s="201"/>
      <c r="E97" s="201"/>
      <c r="F97" s="201"/>
      <c r="G97" s="201"/>
      <c r="H97" s="111"/>
      <c r="I97" s="250"/>
      <c r="K97" s="414" t="str">
        <f>K60</f>
        <v>Arcane Discovery (minor)</v>
      </c>
      <c r="L97" s="405" t="str">
        <f>VLOOKUP(K97,Taulukko5[#All],3,0)</f>
        <v>You may learn and use one Arcane • Open spell list as an Own Realm • Open list</v>
      </c>
      <c r="M97" s="406"/>
      <c r="N97" s="406"/>
      <c r="O97" s="406"/>
      <c r="P97" s="406"/>
      <c r="Q97" s="406"/>
      <c r="R97" s="406"/>
      <c r="S97" s="406"/>
      <c r="T97" s="406"/>
      <c r="U97" s="406"/>
      <c r="V97" s="407"/>
    </row>
    <row r="98" spans="1:22" ht="13.35" customHeight="1" x14ac:dyDescent="0.2">
      <c r="A98" s="215"/>
      <c r="B98" s="234"/>
      <c r="C98" s="201"/>
      <c r="D98" s="201"/>
      <c r="E98" s="201"/>
      <c r="F98" s="201"/>
      <c r="G98" s="201"/>
      <c r="H98" s="111"/>
      <c r="I98" s="250"/>
      <c r="K98" s="415"/>
      <c r="L98" s="408"/>
      <c r="M98" s="409"/>
      <c r="N98" s="409"/>
      <c r="O98" s="409"/>
      <c r="P98" s="409"/>
      <c r="Q98" s="409"/>
      <c r="R98" s="409"/>
      <c r="S98" s="409"/>
      <c r="T98" s="409"/>
      <c r="U98" s="409"/>
      <c r="V98" s="410"/>
    </row>
    <row r="99" spans="1:22" ht="13.35" customHeight="1" x14ac:dyDescent="0.2">
      <c r="A99" s="215"/>
      <c r="B99" s="234"/>
      <c r="C99" s="201"/>
      <c r="D99" s="201"/>
      <c r="E99" s="201"/>
      <c r="F99" s="201"/>
      <c r="G99" s="201"/>
      <c r="H99" s="111"/>
      <c r="I99" s="250"/>
      <c r="K99" s="415"/>
      <c r="L99" s="408"/>
      <c r="M99" s="409"/>
      <c r="N99" s="409"/>
      <c r="O99" s="409"/>
      <c r="P99" s="409"/>
      <c r="Q99" s="409"/>
      <c r="R99" s="409"/>
      <c r="S99" s="409"/>
      <c r="T99" s="409"/>
      <c r="U99" s="409"/>
      <c r="V99" s="410"/>
    </row>
    <row r="100" spans="1:22" ht="13.35" customHeight="1" x14ac:dyDescent="0.2">
      <c r="A100" s="215"/>
      <c r="B100" s="234"/>
      <c r="C100" s="201"/>
      <c r="D100" s="201"/>
      <c r="E100" s="201"/>
      <c r="F100" s="201"/>
      <c r="G100" s="201"/>
      <c r="H100" s="111"/>
      <c r="I100" s="250"/>
      <c r="K100" s="416"/>
      <c r="L100" s="411"/>
      <c r="M100" s="412"/>
      <c r="N100" s="412"/>
      <c r="O100" s="412"/>
      <c r="P100" s="412"/>
      <c r="Q100" s="412"/>
      <c r="R100" s="412"/>
      <c r="S100" s="412"/>
      <c r="T100" s="412"/>
      <c r="U100" s="412"/>
      <c r="V100" s="413"/>
    </row>
    <row r="101" spans="1:22" ht="13.35" customHeight="1" x14ac:dyDescent="0.2">
      <c r="A101" s="215"/>
      <c r="B101" s="234"/>
      <c r="C101" s="173"/>
      <c r="D101" s="201"/>
      <c r="E101" s="201"/>
      <c r="F101" s="201"/>
      <c r="G101" s="201"/>
      <c r="H101" s="111"/>
      <c r="I101" s="250"/>
      <c r="K101" s="414" t="str">
        <f>K61</f>
        <v>Regeneration (major, 1/rnd)</v>
      </c>
      <c r="L101" s="405" t="str">
        <f>VLOOKUP(K101,Taulukko5[#All],3,0)</f>
        <v xml:space="preserve">You have the ability to regenerate damage from all but fatal wounds. Your body automatically regenerates 1 concussion hit each round. Your recovery rate for non-fatal injuries is halved. </v>
      </c>
      <c r="M101" s="406"/>
      <c r="N101" s="406"/>
      <c r="O101" s="406"/>
      <c r="P101" s="406"/>
      <c r="Q101" s="406"/>
      <c r="R101" s="406"/>
      <c r="S101" s="406"/>
      <c r="T101" s="406"/>
      <c r="U101" s="406"/>
      <c r="V101" s="407"/>
    </row>
    <row r="102" spans="1:22" ht="13.35" customHeight="1" x14ac:dyDescent="0.2">
      <c r="A102" s="217"/>
      <c r="B102" s="256"/>
      <c r="C102" s="117"/>
      <c r="D102" s="117"/>
      <c r="E102" s="117"/>
      <c r="F102" s="201"/>
      <c r="G102" s="201"/>
      <c r="H102" s="111"/>
      <c r="I102" s="258"/>
      <c r="K102" s="415"/>
      <c r="L102" s="408"/>
      <c r="M102" s="409"/>
      <c r="N102" s="409"/>
      <c r="O102" s="409"/>
      <c r="P102" s="409"/>
      <c r="Q102" s="409"/>
      <c r="R102" s="409"/>
      <c r="S102" s="409"/>
      <c r="T102" s="409"/>
      <c r="U102" s="409"/>
      <c r="V102" s="410"/>
    </row>
    <row r="103" spans="1:22" ht="13.35" customHeight="1" x14ac:dyDescent="0.2">
      <c r="A103" s="217"/>
      <c r="B103" s="256"/>
      <c r="C103" s="117"/>
      <c r="D103" s="117"/>
      <c r="E103" s="117"/>
      <c r="F103" s="201"/>
      <c r="G103" s="201"/>
      <c r="H103" s="111"/>
      <c r="I103" s="258"/>
      <c r="K103" s="415"/>
      <c r="L103" s="408"/>
      <c r="M103" s="409"/>
      <c r="N103" s="409"/>
      <c r="O103" s="409"/>
      <c r="P103" s="409"/>
      <c r="Q103" s="409"/>
      <c r="R103" s="409"/>
      <c r="S103" s="409"/>
      <c r="T103" s="409"/>
      <c r="U103" s="409"/>
      <c r="V103" s="410"/>
    </row>
    <row r="104" spans="1:22" ht="13.35" customHeight="1" x14ac:dyDescent="0.2">
      <c r="A104" s="215"/>
      <c r="B104" s="234"/>
      <c r="C104" s="201"/>
      <c r="D104" s="201"/>
      <c r="E104" s="201"/>
      <c r="F104" s="201"/>
      <c r="G104" s="201"/>
      <c r="H104" s="111"/>
      <c r="I104" s="250"/>
      <c r="K104" s="416"/>
      <c r="L104" s="411"/>
      <c r="M104" s="412"/>
      <c r="N104" s="412"/>
      <c r="O104" s="412"/>
      <c r="P104" s="412"/>
      <c r="Q104" s="412"/>
      <c r="R104" s="412"/>
      <c r="S104" s="412"/>
      <c r="T104" s="412"/>
      <c r="U104" s="412"/>
      <c r="V104" s="413"/>
    </row>
    <row r="105" spans="1:22" ht="13.35" customHeight="1" x14ac:dyDescent="0.2">
      <c r="A105" s="215"/>
      <c r="B105" s="234"/>
      <c r="C105" s="201"/>
      <c r="D105" s="201"/>
      <c r="E105" s="201"/>
      <c r="F105" s="201"/>
      <c r="G105" s="201"/>
      <c r="H105" s="111"/>
      <c r="I105" s="250"/>
      <c r="K105" s="414" t="str">
        <f>K62</f>
        <v>Microscopic Vision</v>
      </c>
      <c r="L105" s="405" t="str">
        <f>VLOOKUP(K105,Taulukko5[#All],3,0)</f>
        <v>You can view objects that are close (within 1') with up to 10x magnification. You can then notice details normally invisible to the naked eye.</v>
      </c>
      <c r="M105" s="406"/>
      <c r="N105" s="406"/>
      <c r="O105" s="406"/>
      <c r="P105" s="406"/>
      <c r="Q105" s="406"/>
      <c r="R105" s="406"/>
      <c r="S105" s="406"/>
      <c r="T105" s="406"/>
      <c r="U105" s="406"/>
      <c r="V105" s="407"/>
    </row>
    <row r="106" spans="1:22" ht="13.35" customHeight="1" x14ac:dyDescent="0.2">
      <c r="A106" s="215"/>
      <c r="B106" s="234"/>
      <c r="C106" s="201"/>
      <c r="D106" s="201"/>
      <c r="E106" s="201"/>
      <c r="F106" s="201"/>
      <c r="G106" s="201"/>
      <c r="H106" s="111"/>
      <c r="I106" s="250"/>
      <c r="K106" s="415"/>
      <c r="L106" s="408"/>
      <c r="M106" s="409"/>
      <c r="N106" s="409"/>
      <c r="O106" s="409"/>
      <c r="P106" s="409"/>
      <c r="Q106" s="409"/>
      <c r="R106" s="409"/>
      <c r="S106" s="409"/>
      <c r="T106" s="409"/>
      <c r="U106" s="409"/>
      <c r="V106" s="410"/>
    </row>
    <row r="107" spans="1:22" ht="13.35" customHeight="1" x14ac:dyDescent="0.2">
      <c r="A107" s="217"/>
      <c r="B107" s="256"/>
      <c r="C107" s="117"/>
      <c r="D107" s="117"/>
      <c r="E107" s="117"/>
      <c r="F107" s="201"/>
      <c r="G107" s="201"/>
      <c r="H107" s="111"/>
      <c r="I107" s="258"/>
      <c r="K107" s="415"/>
      <c r="L107" s="408"/>
      <c r="M107" s="409"/>
      <c r="N107" s="409"/>
      <c r="O107" s="409"/>
      <c r="P107" s="409"/>
      <c r="Q107" s="409"/>
      <c r="R107" s="409"/>
      <c r="S107" s="409"/>
      <c r="T107" s="409"/>
      <c r="U107" s="409"/>
      <c r="V107" s="410"/>
    </row>
    <row r="108" spans="1:22" ht="13.35" customHeight="1" x14ac:dyDescent="0.2">
      <c r="A108" s="215"/>
      <c r="B108" s="234"/>
      <c r="C108" s="201"/>
      <c r="D108" s="201"/>
      <c r="E108" s="201"/>
      <c r="F108" s="201"/>
      <c r="G108" s="201"/>
      <c r="H108" s="111"/>
      <c r="I108" s="250"/>
      <c r="K108" s="416"/>
      <c r="L108" s="411"/>
      <c r="M108" s="412"/>
      <c r="N108" s="412"/>
      <c r="O108" s="412"/>
      <c r="P108" s="412"/>
      <c r="Q108" s="412"/>
      <c r="R108" s="412"/>
      <c r="S108" s="412"/>
      <c r="T108" s="412"/>
      <c r="U108" s="412"/>
      <c r="V108" s="413"/>
    </row>
    <row r="109" spans="1:22" ht="13.35" customHeight="1" x14ac:dyDescent="0.2">
      <c r="A109" s="244" t="s">
        <v>352</v>
      </c>
      <c r="B109" s="247"/>
      <c r="C109" s="248"/>
      <c r="D109" s="248"/>
      <c r="E109" s="248"/>
      <c r="F109" s="248"/>
      <c r="G109" s="248"/>
      <c r="H109" s="103"/>
      <c r="I109" s="168"/>
      <c r="K109" s="414" t="str">
        <f>K63</f>
        <v>Acrobat</v>
      </c>
      <c r="L109" s="405" t="str">
        <f>VLOOKUP(K109,Taulukko5[#All],3,0)</f>
        <v xml:space="preserve">You receive a special bonus of +20 to your Athletic • Gymnastics skill Category. </v>
      </c>
      <c r="M109" s="406"/>
      <c r="N109" s="406"/>
      <c r="O109" s="406"/>
      <c r="P109" s="406"/>
      <c r="Q109" s="406"/>
      <c r="R109" s="406"/>
      <c r="S109" s="406"/>
      <c r="T109" s="406"/>
      <c r="U109" s="406"/>
      <c r="V109" s="407"/>
    </row>
    <row r="110" spans="1:22" ht="13.35" customHeight="1" x14ac:dyDescent="0.2">
      <c r="A110" s="215" t="s">
        <v>353</v>
      </c>
      <c r="B110" s="234"/>
      <c r="C110" s="201"/>
      <c r="D110" s="201"/>
      <c r="E110" s="201"/>
      <c r="F110" s="201"/>
      <c r="G110" s="201"/>
      <c r="H110" s="246" t="s">
        <v>354</v>
      </c>
      <c r="I110" s="250" t="s">
        <v>355</v>
      </c>
      <c r="K110" s="415"/>
      <c r="L110" s="408"/>
      <c r="M110" s="409"/>
      <c r="N110" s="409"/>
      <c r="O110" s="409"/>
      <c r="P110" s="409"/>
      <c r="Q110" s="409"/>
      <c r="R110" s="409"/>
      <c r="S110" s="409"/>
      <c r="T110" s="409"/>
      <c r="U110" s="409"/>
      <c r="V110" s="410"/>
    </row>
    <row r="111" spans="1:22" ht="13.35" customHeight="1" x14ac:dyDescent="0.2">
      <c r="A111" s="215"/>
      <c r="B111" s="234"/>
      <c r="C111" s="201"/>
      <c r="D111" s="201"/>
      <c r="E111" s="201"/>
      <c r="F111" s="201"/>
      <c r="G111" s="201"/>
      <c r="H111" s="246"/>
      <c r="I111" s="250"/>
      <c r="K111" s="415"/>
      <c r="L111" s="408"/>
      <c r="M111" s="409"/>
      <c r="N111" s="409"/>
      <c r="O111" s="409"/>
      <c r="P111" s="409"/>
      <c r="Q111" s="409"/>
      <c r="R111" s="409"/>
      <c r="S111" s="409"/>
      <c r="T111" s="409"/>
      <c r="U111" s="409"/>
      <c r="V111" s="410"/>
    </row>
    <row r="112" spans="1:22" ht="13.35" customHeight="1" x14ac:dyDescent="0.2">
      <c r="A112" s="215"/>
      <c r="B112" s="234"/>
      <c r="C112" s="201"/>
      <c r="D112" s="201"/>
      <c r="E112" s="201"/>
      <c r="F112" s="201"/>
      <c r="G112" s="201"/>
      <c r="H112" s="246"/>
      <c r="I112" s="250"/>
      <c r="K112" s="416"/>
      <c r="L112" s="411"/>
      <c r="M112" s="412"/>
      <c r="N112" s="412"/>
      <c r="O112" s="412"/>
      <c r="P112" s="412"/>
      <c r="Q112" s="412"/>
      <c r="R112" s="412"/>
      <c r="S112" s="412"/>
      <c r="T112" s="412"/>
      <c r="U112" s="412"/>
      <c r="V112" s="413"/>
    </row>
    <row r="113" spans="1:22" ht="13.35" customHeight="1" x14ac:dyDescent="0.2">
      <c r="A113" s="215"/>
      <c r="B113" s="234"/>
      <c r="C113" s="201"/>
      <c r="D113" s="201"/>
      <c r="E113" s="201"/>
      <c r="F113" s="201"/>
      <c r="G113" s="201"/>
      <c r="H113" s="246"/>
      <c r="I113" s="250"/>
      <c r="K113" s="414" t="str">
        <f>K64</f>
        <v>Animal Handler</v>
      </c>
      <c r="L113" s="405" t="str">
        <f>VLOOKUP(K113,Taulukko5[#All],3,0)</f>
        <v xml:space="preserve">+20 Fauna Lore and Outdoor Animals CAT. </v>
      </c>
      <c r="M113" s="406"/>
      <c r="N113" s="406"/>
      <c r="O113" s="406"/>
      <c r="P113" s="406"/>
      <c r="Q113" s="406"/>
      <c r="R113" s="406"/>
      <c r="S113" s="406"/>
      <c r="T113" s="406"/>
      <c r="U113" s="406"/>
      <c r="V113" s="407"/>
    </row>
    <row r="114" spans="1:22" ht="13.35" customHeight="1" x14ac:dyDescent="0.2">
      <c r="A114" s="215"/>
      <c r="B114" s="234"/>
      <c r="C114" s="201"/>
      <c r="D114" s="201"/>
      <c r="E114" s="201"/>
      <c r="F114" s="201"/>
      <c r="G114" s="201"/>
      <c r="H114" s="246"/>
      <c r="I114" s="250"/>
      <c r="K114" s="415"/>
      <c r="L114" s="408"/>
      <c r="M114" s="409"/>
      <c r="N114" s="409"/>
      <c r="O114" s="409"/>
      <c r="P114" s="409"/>
      <c r="Q114" s="409"/>
      <c r="R114" s="409"/>
      <c r="S114" s="409"/>
      <c r="T114" s="409"/>
      <c r="U114" s="409"/>
      <c r="V114" s="410"/>
    </row>
    <row r="115" spans="1:22" ht="13.35" customHeight="1" x14ac:dyDescent="0.2">
      <c r="A115" s="215"/>
      <c r="B115" s="234"/>
      <c r="C115" s="201"/>
      <c r="D115" s="201"/>
      <c r="E115" s="201"/>
      <c r="F115" s="201"/>
      <c r="G115" s="201"/>
      <c r="H115" s="246"/>
      <c r="I115" s="250"/>
      <c r="K115" s="415"/>
      <c r="L115" s="408"/>
      <c r="M115" s="409"/>
      <c r="N115" s="409"/>
      <c r="O115" s="409"/>
      <c r="P115" s="409"/>
      <c r="Q115" s="409"/>
      <c r="R115" s="409"/>
      <c r="S115" s="409"/>
      <c r="T115" s="409"/>
      <c r="U115" s="409"/>
      <c r="V115" s="410"/>
    </row>
    <row r="116" spans="1:22" ht="13.35" customHeight="1" x14ac:dyDescent="0.2">
      <c r="A116" s="215"/>
      <c r="B116" s="234"/>
      <c r="C116" s="201"/>
      <c r="D116" s="201"/>
      <c r="E116" s="201"/>
      <c r="F116" s="201"/>
      <c r="G116" s="201"/>
      <c r="H116" s="246"/>
      <c r="I116" s="250"/>
      <c r="K116" s="416"/>
      <c r="L116" s="411"/>
      <c r="M116" s="412"/>
      <c r="N116" s="412"/>
      <c r="O116" s="412"/>
      <c r="P116" s="412"/>
      <c r="Q116" s="412"/>
      <c r="R116" s="412"/>
      <c r="S116" s="412"/>
      <c r="T116" s="412"/>
      <c r="U116" s="412"/>
      <c r="V116" s="413"/>
    </row>
    <row r="117" spans="1:22" ht="13.35" customHeight="1" x14ac:dyDescent="0.2">
      <c r="A117" s="215"/>
      <c r="B117" s="234"/>
      <c r="C117" s="201"/>
      <c r="D117" s="201"/>
      <c r="E117" s="201"/>
      <c r="F117" s="201"/>
      <c r="G117" s="201"/>
      <c r="H117" s="246"/>
      <c r="I117" s="250"/>
      <c r="K117" s="414" t="str">
        <f>K65</f>
        <v>Natural Archer</v>
      </c>
      <c r="L117" s="405" t="str">
        <f>VLOOKUP(K117,Taulukko5[#All],3,0)</f>
        <v>You receive a 25% increase to all bow ranges and you receive a special bonus of +5 to your Missile Weapon category.</v>
      </c>
      <c r="M117" s="406"/>
      <c r="N117" s="406"/>
      <c r="O117" s="406"/>
      <c r="P117" s="406"/>
      <c r="Q117" s="406"/>
      <c r="R117" s="406"/>
      <c r="S117" s="406"/>
      <c r="T117" s="406"/>
      <c r="U117" s="406"/>
      <c r="V117" s="407"/>
    </row>
    <row r="118" spans="1:22" ht="13.35" customHeight="1" x14ac:dyDescent="0.2">
      <c r="A118" s="215"/>
      <c r="B118" s="234"/>
      <c r="C118" s="201"/>
      <c r="D118" s="201"/>
      <c r="E118" s="201"/>
      <c r="F118" s="201"/>
      <c r="G118" s="201"/>
      <c r="H118" s="246"/>
      <c r="I118" s="250"/>
      <c r="K118" s="415"/>
      <c r="L118" s="408"/>
      <c r="M118" s="409"/>
      <c r="N118" s="409"/>
      <c r="O118" s="409"/>
      <c r="P118" s="409"/>
      <c r="Q118" s="409"/>
      <c r="R118" s="409"/>
      <c r="S118" s="409"/>
      <c r="T118" s="409"/>
      <c r="U118" s="409"/>
      <c r="V118" s="410"/>
    </row>
    <row r="119" spans="1:22" ht="13.35" customHeight="1" x14ac:dyDescent="0.2">
      <c r="A119" s="215"/>
      <c r="B119" s="234"/>
      <c r="C119" s="201"/>
      <c r="D119" s="201"/>
      <c r="E119" s="201"/>
      <c r="F119" s="201"/>
      <c r="G119" s="201"/>
      <c r="H119" s="246"/>
      <c r="I119" s="250"/>
      <c r="K119" s="415"/>
      <c r="L119" s="408"/>
      <c r="M119" s="409"/>
      <c r="N119" s="409"/>
      <c r="O119" s="409"/>
      <c r="P119" s="409"/>
      <c r="Q119" s="409"/>
      <c r="R119" s="409"/>
      <c r="S119" s="409"/>
      <c r="T119" s="409"/>
      <c r="U119" s="409"/>
      <c r="V119" s="410"/>
    </row>
    <row r="120" spans="1:22" ht="13.35" customHeight="1" x14ac:dyDescent="0.2">
      <c r="A120" s="215"/>
      <c r="B120" s="234"/>
      <c r="C120" s="201"/>
      <c r="D120" s="201"/>
      <c r="E120" s="201"/>
      <c r="F120" s="201"/>
      <c r="G120" s="201"/>
      <c r="H120" s="246"/>
      <c r="I120" s="250"/>
      <c r="K120" s="416"/>
      <c r="L120" s="411"/>
      <c r="M120" s="412"/>
      <c r="N120" s="412"/>
      <c r="O120" s="412"/>
      <c r="P120" s="412"/>
      <c r="Q120" s="412"/>
      <c r="R120" s="412"/>
      <c r="S120" s="412"/>
      <c r="T120" s="412"/>
      <c r="U120" s="412"/>
      <c r="V120" s="413"/>
    </row>
    <row r="121" spans="1:22" ht="13.35" customHeight="1" x14ac:dyDescent="0.2">
      <c r="A121" s="215"/>
      <c r="B121" s="234"/>
      <c r="C121" s="201"/>
      <c r="D121" s="201"/>
      <c r="E121" s="201"/>
      <c r="F121" s="201"/>
      <c r="G121" s="201"/>
      <c r="H121" s="246"/>
      <c r="I121" s="250"/>
      <c r="K121" s="414" t="str">
        <f>K66</f>
        <v>Swift Dresser</v>
      </c>
      <c r="L121" s="405" t="str">
        <f>VLOOKUP(K121,Taulukko5[#All],3,0)</f>
        <v xml:space="preserve">All of the time it takes to either put on or take off your armor is reduced by 25%. </v>
      </c>
      <c r="M121" s="406"/>
      <c r="N121" s="406"/>
      <c r="O121" s="406"/>
      <c r="P121" s="406"/>
      <c r="Q121" s="406"/>
      <c r="R121" s="406"/>
      <c r="S121" s="406"/>
      <c r="T121" s="406"/>
      <c r="U121" s="406"/>
      <c r="V121" s="407"/>
    </row>
    <row r="122" spans="1:22" ht="13.35" customHeight="1" x14ac:dyDescent="0.2">
      <c r="A122" s="215"/>
      <c r="B122" s="234"/>
      <c r="C122" s="201"/>
      <c r="D122" s="201"/>
      <c r="E122" s="201"/>
      <c r="F122" s="201"/>
      <c r="G122" s="201"/>
      <c r="H122" s="246"/>
      <c r="I122" s="250"/>
      <c r="K122" s="415"/>
      <c r="L122" s="408"/>
      <c r="M122" s="409"/>
      <c r="N122" s="409"/>
      <c r="O122" s="409"/>
      <c r="P122" s="409"/>
      <c r="Q122" s="409"/>
      <c r="R122" s="409"/>
      <c r="S122" s="409"/>
      <c r="T122" s="409"/>
      <c r="U122" s="409"/>
      <c r="V122" s="410"/>
    </row>
    <row r="123" spans="1:22" ht="13.35" customHeight="1" x14ac:dyDescent="0.2">
      <c r="A123" s="215"/>
      <c r="B123" s="234"/>
      <c r="C123" s="201"/>
      <c r="D123" s="201"/>
      <c r="E123" s="201"/>
      <c r="F123" s="201"/>
      <c r="G123" s="201"/>
      <c r="H123" s="246"/>
      <c r="I123" s="250"/>
      <c r="K123" s="415"/>
      <c r="L123" s="408"/>
      <c r="M123" s="409"/>
      <c r="N123" s="409"/>
      <c r="O123" s="409"/>
      <c r="P123" s="409"/>
      <c r="Q123" s="409"/>
      <c r="R123" s="409"/>
      <c r="S123" s="409"/>
      <c r="T123" s="409"/>
      <c r="U123" s="409"/>
      <c r="V123" s="410"/>
    </row>
    <row r="124" spans="1:22" ht="13.35" customHeight="1" x14ac:dyDescent="0.2">
      <c r="A124" s="215"/>
      <c r="B124" s="234"/>
      <c r="C124" s="201"/>
      <c r="D124" s="201"/>
      <c r="E124" s="201"/>
      <c r="F124" s="201"/>
      <c r="G124" s="201"/>
      <c r="H124" s="246"/>
      <c r="I124" s="250"/>
      <c r="K124" s="416"/>
      <c r="L124" s="411"/>
      <c r="M124" s="412"/>
      <c r="N124" s="412"/>
      <c r="O124" s="412"/>
      <c r="P124" s="412"/>
      <c r="Q124" s="412"/>
      <c r="R124" s="412"/>
      <c r="S124" s="412"/>
      <c r="T124" s="412"/>
      <c r="U124" s="412"/>
      <c r="V124" s="413"/>
    </row>
    <row r="125" spans="1:22" ht="13.35" customHeight="1" x14ac:dyDescent="0.2">
      <c r="A125" s="252"/>
      <c r="B125" s="252"/>
      <c r="C125" s="169"/>
      <c r="D125" s="169"/>
      <c r="E125" s="169"/>
      <c r="F125" s="169"/>
      <c r="G125" s="169"/>
      <c r="H125" s="169"/>
      <c r="I125" s="169"/>
    </row>
    <row r="126" spans="1:22" ht="13.35" customHeight="1" x14ac:dyDescent="0.2">
      <c r="A126" s="244" t="s">
        <v>4424</v>
      </c>
      <c r="B126" s="248"/>
      <c r="C126" s="248" t="s">
        <v>253</v>
      </c>
      <c r="D126" s="248"/>
      <c r="E126" s="249">
        <f>L32</f>
        <v>0</v>
      </c>
      <c r="F126" s="259" t="s">
        <v>4309</v>
      </c>
      <c r="G126" s="248"/>
      <c r="H126" s="260">
        <f>ROUND(SUM(H127:H186)*0.4536,2)</f>
        <v>29.29</v>
      </c>
      <c r="I126" s="261" t="str">
        <f>ROUND((H126/0.4536),2) &amp; " lbs"</f>
        <v>64,57 lbs</v>
      </c>
    </row>
    <row r="127" spans="1:22" ht="13.35" customHeight="1" x14ac:dyDescent="0.2">
      <c r="A127" s="262" t="s">
        <v>4423</v>
      </c>
      <c r="B127" s="263"/>
      <c r="C127" s="262" t="s">
        <v>3994</v>
      </c>
      <c r="D127" s="262"/>
      <c r="E127" s="262"/>
      <c r="F127" s="264" t="s">
        <v>4463</v>
      </c>
      <c r="G127" s="265" t="s">
        <v>4330</v>
      </c>
      <c r="H127" s="266" t="s">
        <v>4310</v>
      </c>
      <c r="I127" s="267" t="s">
        <v>357</v>
      </c>
      <c r="J127" s="262" t="s">
        <v>4602</v>
      </c>
    </row>
    <row r="128" spans="1:22" ht="13.35" customHeight="1" x14ac:dyDescent="0.2">
      <c r="A128" s="378" t="s">
        <v>4331</v>
      </c>
      <c r="B128" s="379"/>
      <c r="C128" s="268" t="str">
        <f>IF(A128="","",VLOOKUP(A128,Taulukko2[#All],5,FALSE))</f>
        <v>Wooden shafts, goose feathers, and iron tips.</v>
      </c>
      <c r="D128" s="201"/>
      <c r="E128" s="201"/>
      <c r="F128" s="173" t="str">
        <f>IF(A128="","",VLOOKUP(A128,Taulukko2[#All],4,FALSE))</f>
        <v>-</v>
      </c>
      <c r="G128" s="269">
        <f>IF(A128="","",VLOOKUP(A128,Taulukko2[#All],2,FALSE))</f>
        <v>20</v>
      </c>
      <c r="H128" s="270">
        <f>IF(A128="","",IF(I128="worn",0,ROUND(VLOOKUP(A128,Taulukko2[#All],6,FALSE)*G128,2)))</f>
        <v>3</v>
      </c>
      <c r="I128" s="250" t="s">
        <v>4427</v>
      </c>
      <c r="J128" s="80" t="str">
        <f>IF(A128="","",VLOOKUP(A128,Taulukko2[#All],5,FALSE))</f>
        <v>Wooden shafts, goose feathers, and iron tips.</v>
      </c>
    </row>
    <row r="129" spans="1:10" ht="13.35" customHeight="1" x14ac:dyDescent="0.2">
      <c r="A129" s="378" t="s">
        <v>4372</v>
      </c>
      <c r="B129" s="379"/>
      <c r="C129" s="268" t="str">
        <f>IF(A129="","",VLOOKUP(A129,Taulukko2[#All],5,FALSE))</f>
        <v>Leather/wood. Holds 20 arrows/bolts. Has shoulder sling.</v>
      </c>
      <c r="D129" s="201"/>
      <c r="E129" s="201"/>
      <c r="F129" s="173" t="str">
        <f>IF(A129="","",VLOOKUP(A129,Taulukko2[#All],4,FALSE))</f>
        <v>-</v>
      </c>
      <c r="G129" s="269">
        <f>IF(A129="","",VLOOKUP(A129,Taulukko2[#All],2,FALSE))</f>
        <v>1</v>
      </c>
      <c r="H129" s="270">
        <f>IF(A129="","",IF(I129="worn",0,ROUND(VLOOKUP(A129,Taulukko2[#All],6,FALSE)*G129,2)))</f>
        <v>0.5</v>
      </c>
      <c r="I129" s="250" t="s">
        <v>4429</v>
      </c>
      <c r="J129" s="80" t="str">
        <f>IF(A129="","",VLOOKUP(A129,Taulukko2[#All],5,FALSE))</f>
        <v>Leather/wood. Holds 20 arrows/bolts. Has shoulder sling.</v>
      </c>
    </row>
    <row r="130" spans="1:10" ht="13.35" customHeight="1" x14ac:dyDescent="0.2">
      <c r="A130" s="378" t="s">
        <v>4324</v>
      </c>
      <c r="B130" s="379"/>
      <c r="C130" s="268" t="str">
        <f>IF(A130="","",VLOOKUP(A130,Taulukko2[#All],5,FALSE))</f>
        <v>Wool blanket and mat. Good for 2 seasons.</v>
      </c>
      <c r="D130" s="201"/>
      <c r="E130" s="201"/>
      <c r="F130" s="173" t="str">
        <f>IF(A130="","",VLOOKUP(A130,Taulukko2[#All],4,FALSE))</f>
        <v>-</v>
      </c>
      <c r="G130" s="269">
        <f>IF(A130="","",VLOOKUP(A130,Taulukko2[#All],2,FALSE))</f>
        <v>1</v>
      </c>
      <c r="H130" s="270">
        <f>IF(A130="","",IF(I130="worn",0,ROUND(VLOOKUP(A130,Taulukko2[#All],6,FALSE)*G130,2)))</f>
        <v>5.5</v>
      </c>
      <c r="I130" s="250"/>
      <c r="J130" s="80" t="str">
        <f>IF(A130="","",VLOOKUP(A130,Taulukko2[#All],5,FALSE))</f>
        <v>Wool blanket and mat. Good for 2 seasons.</v>
      </c>
    </row>
    <row r="131" spans="1:10" ht="13.35" customHeight="1" x14ac:dyDescent="0.2">
      <c r="A131" s="378" t="s">
        <v>4323</v>
      </c>
      <c r="B131" s="379"/>
      <c r="C131" s="268" t="str">
        <f>IF(A131="","",VLOOKUP(A131,Taulukko2[#All],5,FALSE))</f>
        <v>Leather or canvas with wooden buckles. Holds 20 lbs. (1 cu’).</v>
      </c>
      <c r="D131" s="201"/>
      <c r="E131" s="201"/>
      <c r="F131" s="173" t="str">
        <f>IF(A131="","",VLOOKUP(A131,Taulukko2[#All],4,FALSE))</f>
        <v>-</v>
      </c>
      <c r="G131" s="269">
        <f>IF(A131="","",VLOOKUP(A131,Taulukko2[#All],2,FALSE))</f>
        <v>1</v>
      </c>
      <c r="H131" s="270">
        <f>IF(A131="","",IF(I131="worn",0,ROUND(VLOOKUP(A131,Taulukko2[#All],6,FALSE)*G131,2)))</f>
        <v>2.5</v>
      </c>
      <c r="I131" s="250"/>
      <c r="J131" s="80" t="str">
        <f>IF(A131="","",VLOOKUP(A131,Taulukko2[#All],5,FALSE))</f>
        <v>Leather or canvas with wooden buckles. Holds 20 lbs. (1 cu’).</v>
      </c>
    </row>
    <row r="132" spans="1:10" ht="13.35" customHeight="1" x14ac:dyDescent="0.2">
      <c r="A132" s="378" t="s">
        <v>4350</v>
      </c>
      <c r="B132" s="379"/>
      <c r="C132" s="268" t="str">
        <f>IF(A132="","",VLOOKUP(A132,Taulukko2[#All],5,FALSE))</f>
        <v>Leather head covering.</v>
      </c>
      <c r="D132" s="201"/>
      <c r="E132" s="201"/>
      <c r="F132" s="173" t="str">
        <f>IF(A132="","",VLOOKUP(A132,Taulukko2[#All],4,FALSE))</f>
        <v>-</v>
      </c>
      <c r="G132" s="269">
        <f>IF(A132="","",VLOOKUP(A132,Taulukko2[#All],2,FALSE))</f>
        <v>1</v>
      </c>
      <c r="H132" s="270">
        <f>IF(A132="","",IF(I132="worn",0,ROUND(VLOOKUP(A132,Taulukko2[#All],6,FALSE)*G132,2)))</f>
        <v>0</v>
      </c>
      <c r="I132" s="250" t="s">
        <v>4425</v>
      </c>
      <c r="J132" s="80" t="str">
        <f>IF(A132="","",VLOOKUP(A132,Taulukko2[#All],5,FALSE))</f>
        <v>Leather head covering.</v>
      </c>
    </row>
    <row r="133" spans="1:10" ht="13.35" customHeight="1" x14ac:dyDescent="0.2">
      <c r="A133" s="378" t="s">
        <v>4363</v>
      </c>
      <c r="B133" s="379"/>
      <c r="C133" s="268" t="str">
        <f>IF(A133="","",VLOOKUP(A133,Taulukko2[#All],5,FALSE))</f>
        <v>Linen with a draw string at the waist.</v>
      </c>
      <c r="D133" s="201"/>
      <c r="E133" s="201"/>
      <c r="F133" s="173" t="str">
        <f>IF(A133="","",VLOOKUP(A133,Taulukko2[#All],4,FALSE))</f>
        <v>-</v>
      </c>
      <c r="G133" s="269">
        <f>IF(A133="","",VLOOKUP(A133,Taulukko2[#All],2,FALSE))</f>
        <v>1</v>
      </c>
      <c r="H133" s="270">
        <f>IF(A133="","",IF(I133="worn",0,ROUND(VLOOKUP(A133,Taulukko2[#All],6,FALSE)*G133,2)))</f>
        <v>0</v>
      </c>
      <c r="I133" s="250" t="s">
        <v>4425</v>
      </c>
      <c r="J133" s="80" t="str">
        <f>IF(A133="","",VLOOKUP(A133,Taulukko2[#All],5,FALSE))</f>
        <v>Linen with a draw string at the waist.</v>
      </c>
    </row>
    <row r="134" spans="1:10" ht="13.35" customHeight="1" x14ac:dyDescent="0.2">
      <c r="A134" s="378" t="s">
        <v>4381</v>
      </c>
      <c r="B134" s="379"/>
      <c r="C134" s="268" t="str">
        <f>IF(A134="","",VLOOKUP(A134,Taulukko2[#All],5,FALSE))</f>
        <v>Linen.</v>
      </c>
      <c r="D134" s="201"/>
      <c r="E134" s="201"/>
      <c r="F134" s="173" t="str">
        <f>IF(A134="","",VLOOKUP(A134,Taulukko2[#All],4,FALSE))</f>
        <v>-</v>
      </c>
      <c r="G134" s="269">
        <f>IF(A134="","",VLOOKUP(A134,Taulukko2[#All],2,FALSE))</f>
        <v>1</v>
      </c>
      <c r="H134" s="270">
        <f>IF(A134="","",IF(I134="worn",0,ROUND(VLOOKUP(A134,Taulukko2[#All],6,FALSE)*G134,2)))</f>
        <v>0</v>
      </c>
      <c r="I134" s="250" t="s">
        <v>4425</v>
      </c>
      <c r="J134" s="80" t="str">
        <f>IF(A134="","",VLOOKUP(A134,Taulukko2[#All],5,FALSE))</f>
        <v>Linen.</v>
      </c>
    </row>
    <row r="135" spans="1:10" ht="13.35" customHeight="1" x14ac:dyDescent="0.2">
      <c r="A135" s="378" t="s">
        <v>4374</v>
      </c>
      <c r="B135" s="379"/>
      <c r="C135" s="268" t="str">
        <f>IF(A135="","",VLOOKUP(A135,Taulukko2[#All],5,FALSE))</f>
        <v>Hemp, reinforced with heavy cord (50' length, 1.5" diameter).</v>
      </c>
      <c r="D135" s="201"/>
      <c r="E135" s="201"/>
      <c r="F135" s="173" t="str">
        <f>IF(A135="","",VLOOKUP(A135,Taulukko2[#All],4,FALSE))</f>
        <v>-</v>
      </c>
      <c r="G135" s="269">
        <f>IF(A135="","",VLOOKUP(A135,Taulukko2[#All],2,FALSE))</f>
        <v>1</v>
      </c>
      <c r="H135" s="270">
        <f>IF(A135="","",IF(I135="worn",0,ROUND(VLOOKUP(A135,Taulukko2[#All],6,FALSE)*G135,2)))</f>
        <v>3</v>
      </c>
      <c r="I135" s="250" t="s">
        <v>4428</v>
      </c>
      <c r="J135" s="80" t="str">
        <f>IF(A135="","",VLOOKUP(A135,Taulukko2[#All],5,FALSE))</f>
        <v>Hemp, reinforced with heavy cord (50' length, 1.5" diameter).</v>
      </c>
    </row>
    <row r="136" spans="1:10" ht="13.35" customHeight="1" x14ac:dyDescent="0.2">
      <c r="A136" s="378" t="s">
        <v>4383</v>
      </c>
      <c r="B136" s="379"/>
      <c r="C136" s="268" t="str">
        <f>IF(A136="","",VLOOKUP(A136,Taulukko2[#All],5,FALSE))</f>
        <v>Iron. Gives approximate time (on sunny days).</v>
      </c>
      <c r="D136" s="201"/>
      <c r="E136" s="201"/>
      <c r="F136" s="173" t="str">
        <f>IF(A136="","",VLOOKUP(A136,Taulukko2[#All],4,FALSE))</f>
        <v>-</v>
      </c>
      <c r="G136" s="269">
        <f>IF(A136="","",VLOOKUP(A136,Taulukko2[#All],2,FALSE))</f>
        <v>1</v>
      </c>
      <c r="H136" s="270">
        <f>IF(A136="","",IF(I136="worn",0,ROUND(VLOOKUP(A136,Taulukko2[#All],6,FALSE)*G136,2)))</f>
        <v>1</v>
      </c>
      <c r="I136" s="250" t="s">
        <v>4428</v>
      </c>
      <c r="J136" s="80" t="str">
        <f>IF(A136="","",VLOOKUP(A136,Taulukko2[#All],5,FALSE))</f>
        <v>Iron. Gives approximate time (on sunny days).</v>
      </c>
    </row>
    <row r="137" spans="1:10" ht="13.35" customHeight="1" x14ac:dyDescent="0.2">
      <c r="A137" s="378" t="s">
        <v>4379</v>
      </c>
      <c r="B137" s="379"/>
      <c r="C137" s="268" t="str">
        <f>IF(A137="","",VLOOKUP(A137,Taulukko2[#All],5,FALSE))</f>
        <v>Leather with metal fittings. Holds one 1-handed weapon.</v>
      </c>
      <c r="D137" s="201"/>
      <c r="E137" s="201"/>
      <c r="F137" s="173" t="str">
        <f>IF(A137="","",VLOOKUP(A137,Taulukko2[#All],4,FALSE))</f>
        <v>-</v>
      </c>
      <c r="G137" s="269">
        <f>IF(A137="","",VLOOKUP(A137,Taulukko2[#All],2,FALSE))</f>
        <v>1</v>
      </c>
      <c r="H137" s="270">
        <f>IF(A137="","",IF(I137="worn",0,ROUND(VLOOKUP(A137,Taulukko2[#All],6,FALSE)*G137,2)))</f>
        <v>1</v>
      </c>
      <c r="I137" s="250"/>
      <c r="J137" s="80" t="str">
        <f>IF(A137="","",VLOOKUP(A137,Taulukko2[#All],5,FALSE))</f>
        <v>Leather with metal fittings. Holds one 1-handed weapon.</v>
      </c>
    </row>
    <row r="138" spans="1:10" ht="13.35" customHeight="1" x14ac:dyDescent="0.2">
      <c r="A138" s="378" t="s">
        <v>4391</v>
      </c>
      <c r="B138" s="379"/>
      <c r="C138" s="268" t="str">
        <f>IF(A138="","",VLOOKUP(A138,Taulukko2[#All],5,FALSE))</f>
        <v>Leather with metal fittings. Holds 2 scabbards and/or 3 pouches.</v>
      </c>
      <c r="D138" s="201"/>
      <c r="E138" s="201"/>
      <c r="F138" s="173" t="str">
        <f>IF(A138="","",VLOOKUP(A138,Taulukko2[#All],4,FALSE))</f>
        <v>-</v>
      </c>
      <c r="G138" s="269">
        <f>IF(A138="","",VLOOKUP(A138,Taulukko2[#All],2,FALSE))</f>
        <v>1</v>
      </c>
      <c r="H138" s="270">
        <f>IF(A138="","",IF(I138="worn",0,ROUND(VLOOKUP(A138,Taulukko2[#All],6,FALSE)*G138,2)))</f>
        <v>1</v>
      </c>
      <c r="I138" s="250"/>
      <c r="J138" s="80" t="str">
        <f>IF(A138="","",VLOOKUP(A138,Taulukko2[#All],5,FALSE))</f>
        <v>Leather with metal fittings. Holds 2 scabbards and/or 3 pouches.</v>
      </c>
    </row>
    <row r="139" spans="1:10" ht="13.35" customHeight="1" x14ac:dyDescent="0.2">
      <c r="A139" s="378"/>
      <c r="B139" s="379"/>
      <c r="C139" s="268" t="str">
        <f>IF(A139="","",VLOOKUP(A139,Taulukko2[#All],5,FALSE))</f>
        <v/>
      </c>
      <c r="D139" s="201"/>
      <c r="E139" s="201"/>
      <c r="F139" s="173" t="str">
        <f>IF(A139="","",VLOOKUP(A139,Taulukko2[#All],4,FALSE))</f>
        <v/>
      </c>
      <c r="G139" s="269" t="str">
        <f>IF(A139="","",VLOOKUP(A139,Taulukko2[#All],2,FALSE))</f>
        <v/>
      </c>
      <c r="H139" s="270" t="str">
        <f>IF(A139="","",IF(I139="worn",0,ROUND(VLOOKUP(A139,Taulukko2[#All],6,FALSE)*G139,2)))</f>
        <v/>
      </c>
      <c r="I139" s="250"/>
      <c r="J139" s="80" t="str">
        <f>IF(A139="","",VLOOKUP(A139,Taulukko2[#All],5,FALSE))</f>
        <v/>
      </c>
    </row>
    <row r="140" spans="1:10" ht="13.35" customHeight="1" x14ac:dyDescent="0.2">
      <c r="A140" s="378" t="s">
        <v>4401</v>
      </c>
      <c r="B140" s="379"/>
      <c r="C140" s="268" t="str">
        <f>IF(A140="","",VLOOKUP(A140,Taulukko2[#All],5,FALSE))</f>
        <v>+20 DB vs. melee; +10 DB vs. missile.</v>
      </c>
      <c r="D140" s="201"/>
      <c r="E140" s="201"/>
      <c r="F140" s="173" t="str">
        <f>IF(A140="","",VLOOKUP(A140,Taulukko2[#All],4,FALSE))</f>
        <v>-</v>
      </c>
      <c r="G140" s="269">
        <f>IF(A140="","",VLOOKUP(A140,Taulukko2[#All],2,FALSE))</f>
        <v>1</v>
      </c>
      <c r="H140" s="270">
        <f>IF(A140="","",IF(I140="worn",0,ROUND(VLOOKUP(A140,Taulukko2[#All],6,FALSE)*G140,2)))</f>
        <v>6.5</v>
      </c>
      <c r="I140" s="250"/>
      <c r="J140" s="80" t="str">
        <f>IF(A140="","",VLOOKUP(A140,Taulukko2[#All],5,FALSE))</f>
        <v>+20 DB vs. melee; +10 DB vs. missile.</v>
      </c>
    </row>
    <row r="141" spans="1:10" ht="13.35" customHeight="1" x14ac:dyDescent="0.2">
      <c r="A141" s="378" t="s">
        <v>1252</v>
      </c>
      <c r="B141" s="379"/>
      <c r="C141" s="268" t="str">
        <f>IF(A141="","",VLOOKUP(A141,Taulukko2[#All],5,FALSE))</f>
        <v>Rigid vest which covers abdomen.</v>
      </c>
      <c r="D141" s="201"/>
      <c r="E141" s="201"/>
      <c r="F141" s="173">
        <f>IF(A141="","",VLOOKUP(A141,Taulukko2[#All],4,FALSE))</f>
        <v>9</v>
      </c>
      <c r="G141" s="269">
        <f>IF(A141="","",VLOOKUP(A141,Taulukko2[#All],2,FALSE))</f>
        <v>1</v>
      </c>
      <c r="H141" s="270">
        <f>IF(A141="","",IF(I141="worn",0,ROUND(VLOOKUP(A141,Taulukko2[#All],6,FALSE)*G141,2)))</f>
        <v>0</v>
      </c>
      <c r="I141" s="250" t="s">
        <v>4425</v>
      </c>
      <c r="J141" s="80" t="str">
        <f>IF(A141="","",VLOOKUP(A141,Taulukko2[#All],5,FALSE))</f>
        <v>Rigid vest which covers abdomen.</v>
      </c>
    </row>
    <row r="142" spans="1:10" ht="13.35" customHeight="1" x14ac:dyDescent="0.2">
      <c r="A142" s="378" t="s">
        <v>4402</v>
      </c>
      <c r="B142" s="379"/>
      <c r="C142" s="268" t="str">
        <f>IF(A142="","",VLOOKUP(A142,Taulukko2[#All],5,FALSE))</f>
        <v>+20 DB vs. melee or missile.</v>
      </c>
      <c r="D142" s="201"/>
      <c r="E142" s="201"/>
      <c r="F142" s="173" t="str">
        <f>IF(A142="","",VLOOKUP(A142,Taulukko2[#All],4,FALSE))</f>
        <v>-</v>
      </c>
      <c r="G142" s="269">
        <f>IF(A142="","",VLOOKUP(A142,Taulukko2[#All],2,FALSE))</f>
        <v>1</v>
      </c>
      <c r="H142" s="270">
        <f>IF(A142="","",IF(I142="worn",0,ROUND(VLOOKUP(A142,Taulukko2[#All],6,FALSE)*G142,2)))</f>
        <v>15</v>
      </c>
      <c r="I142" s="250"/>
      <c r="J142" s="80" t="str">
        <f>IF(A142="","",VLOOKUP(A142,Taulukko2[#All],5,FALSE))</f>
        <v>+20 DB vs. melee or missile.</v>
      </c>
    </row>
    <row r="143" spans="1:10" ht="13.35" customHeight="1" x14ac:dyDescent="0.2">
      <c r="A143" s="378"/>
      <c r="B143" s="379"/>
      <c r="C143" s="268" t="str">
        <f>IF(A143="","",VLOOKUP(A143,Taulukko2[#All],5,FALSE))</f>
        <v/>
      </c>
      <c r="D143" s="201"/>
      <c r="E143" s="201"/>
      <c r="F143" s="173" t="str">
        <f>IF(A143="","",VLOOKUP(A143,Taulukko2[#All],4,FALSE))</f>
        <v/>
      </c>
      <c r="G143" s="269" t="str">
        <f>IF(A143="","",VLOOKUP(A143,Taulukko2[#All],2,FALSE))</f>
        <v/>
      </c>
      <c r="H143" s="270" t="str">
        <f>IF(A143="","",IF(I143="worn",0,ROUND(VLOOKUP(A143,Taulukko2[#All],6,FALSE)*G143,2)))</f>
        <v/>
      </c>
      <c r="I143" s="250"/>
      <c r="J143" s="80" t="str">
        <f>IF(A143="","",VLOOKUP(A143,Taulukko2[#All],5,FALSE))</f>
        <v/>
      </c>
    </row>
    <row r="144" spans="1:10" ht="13.35" customHeight="1" x14ac:dyDescent="0.2">
      <c r="A144" s="378" t="s">
        <v>4455</v>
      </c>
      <c r="B144" s="379"/>
      <c r="C144" s="268" t="str">
        <f>IF(A144="","",VLOOKUP(A144,Taulukko2[#All],5,FALSE))</f>
        <v>Strength 69-81</v>
      </c>
      <c r="D144" s="201"/>
      <c r="E144" s="201"/>
      <c r="F144" s="173" t="str">
        <f>IF(A144="","",VLOOKUP(A144,Taulukko2[#All],4,FALSE))</f>
        <v>01-05</v>
      </c>
      <c r="G144" s="269">
        <f>IF(A144="","",VLOOKUP(A144,Taulukko2[#All],2,FALSE))</f>
        <v>1</v>
      </c>
      <c r="H144" s="270">
        <f>IF(A144="","",IF(I144="worn",0,ROUND(VLOOKUP(A144,Taulukko2[#All],6,FALSE)*G144,2)))</f>
        <v>8.5</v>
      </c>
      <c r="I144" s="250"/>
      <c r="J144" s="80" t="str">
        <f>IF(A144="","",VLOOKUP(A144,Taulukko2[#All],5,FALSE))</f>
        <v>Strength 69-81</v>
      </c>
    </row>
    <row r="145" spans="1:10" ht="13.35" customHeight="1" x14ac:dyDescent="0.2">
      <c r="A145" s="378" t="s">
        <v>4379</v>
      </c>
      <c r="B145" s="379"/>
      <c r="C145" s="268" t="str">
        <f>IF(A145="","",VLOOKUP(A145,Taulukko2[#All],5,FALSE))</f>
        <v>Leather with metal fittings. Holds one 1-handed weapon.</v>
      </c>
      <c r="D145" s="201"/>
      <c r="E145" s="201"/>
      <c r="F145" s="173" t="str">
        <f>IF(A145="","",VLOOKUP(A145,Taulukko2[#All],4,FALSE))</f>
        <v>-</v>
      </c>
      <c r="G145" s="269">
        <f>IF(A145="","",VLOOKUP(A145,Taulukko2[#All],2,FALSE))</f>
        <v>1</v>
      </c>
      <c r="H145" s="270">
        <f>IF(A145="","",IF(I145="worn",0,ROUND(VLOOKUP(A145,Taulukko2[#All],6,FALSE)*G145,2)))</f>
        <v>1</v>
      </c>
      <c r="I145" s="250"/>
      <c r="J145" s="80" t="str">
        <f>IF(A145="","",VLOOKUP(A145,Taulukko2[#All],5,FALSE))</f>
        <v>Leather with metal fittings. Holds one 1-handed weapon.</v>
      </c>
    </row>
    <row r="146" spans="1:10" ht="13.35" customHeight="1" x14ac:dyDescent="0.2">
      <c r="A146" s="378" t="s">
        <v>4930</v>
      </c>
      <c r="B146" s="379"/>
      <c r="C146" s="268" t="str">
        <f>IF(A146="","",VLOOKUP(A146,Taulukko2[#All],5,FALSE))</f>
        <v>Preserved. Also known as Lembas.</v>
      </c>
      <c r="D146" s="201"/>
      <c r="E146" s="201"/>
      <c r="F146" s="173" t="str">
        <f>IF(A146="","",VLOOKUP(A146,Taulukko2[#All],4,FALSE))</f>
        <v>-</v>
      </c>
      <c r="G146" s="269">
        <v>30</v>
      </c>
      <c r="H146" s="270">
        <f>IF(A146="","",IF(I146="worn",0,ROUND(VLOOKUP(A146,Taulukko2[#All],6,FALSE)*G146,2)))</f>
        <v>4</v>
      </c>
      <c r="I146" s="250"/>
      <c r="J146" s="80" t="str">
        <f>IF(A146="","",VLOOKUP(A146,Taulukko2[#All],5,FALSE))</f>
        <v>Preserved. Also known as Lembas.</v>
      </c>
    </row>
    <row r="147" spans="1:10" ht="13.35" customHeight="1" x14ac:dyDescent="0.2">
      <c r="A147" s="378" t="s">
        <v>4930</v>
      </c>
      <c r="B147" s="379"/>
      <c r="C147" s="268" t="str">
        <f>IF(A147="","",VLOOKUP(A147,Taulukko2[#All],5,FALSE))</f>
        <v>Preserved. Also known as Lembas.</v>
      </c>
      <c r="D147" s="201"/>
      <c r="E147" s="201"/>
      <c r="F147" s="173" t="str">
        <f>IF(A147="","",VLOOKUP(A147,Taulukko2[#All],4,FALSE))</f>
        <v>-</v>
      </c>
      <c r="G147" s="269">
        <f>IF(A147="","",VLOOKUP(A147,Taulukko2[#All],2,FALSE))</f>
        <v>1</v>
      </c>
      <c r="H147" s="270">
        <f>IF(A147="","",IF(I147="worn",0,ROUND(VLOOKUP(A147,Taulukko2[#All],6,FALSE)*G147,2)))</f>
        <v>0.13</v>
      </c>
      <c r="I147" s="250"/>
      <c r="J147" s="80" t="str">
        <f>IF(A147="","",VLOOKUP(A147,Taulukko2[#All],5,FALSE))</f>
        <v>Preserved. Also known as Lembas.</v>
      </c>
    </row>
    <row r="148" spans="1:10" ht="13.35" customHeight="1" x14ac:dyDescent="0.2">
      <c r="A148" s="378" t="s">
        <v>4930</v>
      </c>
      <c r="B148" s="379"/>
      <c r="C148" s="268" t="str">
        <f>IF(A148="","",VLOOKUP(A148,Taulukko2[#All],5,FALSE))</f>
        <v>Preserved. Also known as Lembas.</v>
      </c>
      <c r="D148" s="201"/>
      <c r="E148" s="201"/>
      <c r="F148" s="173" t="str">
        <f>IF(A148="","",VLOOKUP(A148,Taulukko2[#All],4,FALSE))</f>
        <v>-</v>
      </c>
      <c r="G148" s="269">
        <f>IF(A148="","",VLOOKUP(A148,Taulukko2[#All],2,FALSE))</f>
        <v>1</v>
      </c>
      <c r="H148" s="270">
        <f>IF(A148="","",IF(I148="worn",0,ROUND(VLOOKUP(A148,Taulukko2[#All],6,FALSE)*G148,2)))</f>
        <v>0.13</v>
      </c>
      <c r="I148" s="250"/>
      <c r="J148" s="80" t="str">
        <f>IF(A148="","",VLOOKUP(A148,Taulukko2[#All],5,FALSE))</f>
        <v>Preserved. Also known as Lembas.</v>
      </c>
    </row>
    <row r="149" spans="1:10" ht="13.35" customHeight="1" x14ac:dyDescent="0.2">
      <c r="A149" s="378" t="s">
        <v>4930</v>
      </c>
      <c r="B149" s="379"/>
      <c r="C149" s="268" t="str">
        <f>IF(A149="","",VLOOKUP(A149,Taulukko2[#All],5,FALSE))</f>
        <v>Preserved. Also known as Lembas.</v>
      </c>
      <c r="D149" s="201"/>
      <c r="E149" s="201"/>
      <c r="F149" s="173" t="str">
        <f>IF(A149="","",VLOOKUP(A149,Taulukko2[#All],4,FALSE))</f>
        <v>-</v>
      </c>
      <c r="G149" s="269">
        <f>IF(A149="","",VLOOKUP(A149,Taulukko2[#All],2,FALSE))</f>
        <v>1</v>
      </c>
      <c r="H149" s="270">
        <f>IF(A149="","",IF(I149="worn",0,ROUND(VLOOKUP(A149,Taulukko2[#All],6,FALSE)*G149,2)))</f>
        <v>0.13</v>
      </c>
      <c r="I149" s="250"/>
      <c r="J149" s="80" t="str">
        <f>IF(A149="","",VLOOKUP(A149,Taulukko2[#All],5,FALSE))</f>
        <v>Preserved. Also known as Lembas.</v>
      </c>
    </row>
    <row r="150" spans="1:10" ht="13.35" customHeight="1" x14ac:dyDescent="0.2">
      <c r="A150" s="378" t="s">
        <v>4930</v>
      </c>
      <c r="B150" s="379"/>
      <c r="C150" s="268" t="str">
        <f>IF(A150="","",VLOOKUP(A150,Taulukko2[#All],5,FALSE))</f>
        <v>Preserved. Also known as Lembas.</v>
      </c>
      <c r="D150" s="201"/>
      <c r="E150" s="201"/>
      <c r="F150" s="173" t="str">
        <f>IF(A150="","",VLOOKUP(A150,Taulukko2[#All],4,FALSE))</f>
        <v>-</v>
      </c>
      <c r="G150" s="269">
        <f>IF(A150="","",VLOOKUP(A150,Taulukko2[#All],2,FALSE))</f>
        <v>1</v>
      </c>
      <c r="H150" s="270">
        <f>IF(A150="","",IF(I150="worn",0,ROUND(VLOOKUP(A150,Taulukko2[#All],6,FALSE)*G150,2)))</f>
        <v>0.13</v>
      </c>
      <c r="I150" s="250"/>
      <c r="J150" s="80" t="str">
        <f>IF(A150="","",VLOOKUP(A150,Taulukko2[#All],5,FALSE))</f>
        <v>Preserved. Also known as Lembas.</v>
      </c>
    </row>
    <row r="151" spans="1:10" ht="13.35" customHeight="1" x14ac:dyDescent="0.2">
      <c r="A151" s="378" t="s">
        <v>4930</v>
      </c>
      <c r="B151" s="379"/>
      <c r="C151" s="268" t="str">
        <f>IF(A151="","",VLOOKUP(A151,Taulukko2[#All],5,FALSE))</f>
        <v>Preserved. Also known as Lembas.</v>
      </c>
      <c r="D151" s="201"/>
      <c r="E151" s="201"/>
      <c r="F151" s="173" t="str">
        <f>IF(A151="","",VLOOKUP(A151,Taulukko2[#All],4,FALSE))</f>
        <v>-</v>
      </c>
      <c r="G151" s="269">
        <f>IF(A151="","",VLOOKUP(A151,Taulukko2[#All],2,FALSE))</f>
        <v>1</v>
      </c>
      <c r="H151" s="270">
        <f>IF(A151="","",IF(I151="worn",0,ROUND(VLOOKUP(A151,Taulukko2[#All],6,FALSE)*G151,2)))</f>
        <v>0.13</v>
      </c>
      <c r="I151" s="250"/>
      <c r="J151" s="80" t="str">
        <f>IF(A151="","",VLOOKUP(A151,Taulukko2[#All],5,FALSE))</f>
        <v>Preserved. Also known as Lembas.</v>
      </c>
    </row>
    <row r="152" spans="1:10" ht="13.35" customHeight="1" x14ac:dyDescent="0.2">
      <c r="A152" s="378" t="s">
        <v>4930</v>
      </c>
      <c r="B152" s="379"/>
      <c r="C152" s="268" t="str">
        <f>IF(A152="","",VLOOKUP(A152,Taulukko2[#All],5,FALSE))</f>
        <v>Preserved. Also known as Lembas.</v>
      </c>
      <c r="D152" s="201"/>
      <c r="E152" s="201"/>
      <c r="F152" s="173" t="str">
        <f>IF(A152="","",VLOOKUP(A152,Taulukko2[#All],4,FALSE))</f>
        <v>-</v>
      </c>
      <c r="G152" s="269">
        <f>IF(A152="","",VLOOKUP(A152,Taulukko2[#All],2,FALSE))</f>
        <v>1</v>
      </c>
      <c r="H152" s="270">
        <f>IF(A152="","",IF(I152="worn",0,ROUND(VLOOKUP(A152,Taulukko2[#All],6,FALSE)*G152,2)))</f>
        <v>0.13</v>
      </c>
      <c r="I152" s="250"/>
      <c r="J152" s="80" t="str">
        <f>IF(A152="","",VLOOKUP(A152,Taulukko2[#All],5,FALSE))</f>
        <v>Preserved. Also known as Lembas.</v>
      </c>
    </row>
    <row r="153" spans="1:10" ht="13.35" customHeight="1" x14ac:dyDescent="0.2">
      <c r="A153" s="378" t="s">
        <v>4930</v>
      </c>
      <c r="B153" s="379"/>
      <c r="C153" s="268" t="str">
        <f>IF(A153="","",VLOOKUP(A153,Taulukko2[#All],5,FALSE))</f>
        <v>Preserved. Also known as Lembas.</v>
      </c>
      <c r="D153" s="201"/>
      <c r="E153" s="201"/>
      <c r="F153" s="173" t="str">
        <f>IF(A153="","",VLOOKUP(A153,Taulukko2[#All],4,FALSE))</f>
        <v>-</v>
      </c>
      <c r="G153" s="269">
        <f>IF(A153="","",VLOOKUP(A153,Taulukko2[#All],2,FALSE))</f>
        <v>1</v>
      </c>
      <c r="H153" s="270">
        <f>IF(A153="","",IF(I153="worn",0,ROUND(VLOOKUP(A153,Taulukko2[#All],6,FALSE)*G153,2)))</f>
        <v>0.13</v>
      </c>
      <c r="I153" s="250"/>
      <c r="J153" s="80" t="str">
        <f>IF(A153="","",VLOOKUP(A153,Taulukko2[#All],5,FALSE))</f>
        <v>Preserved. Also known as Lembas.</v>
      </c>
    </row>
    <row r="154" spans="1:10" ht="13.35" customHeight="1" x14ac:dyDescent="0.2">
      <c r="A154" s="378" t="s">
        <v>4930</v>
      </c>
      <c r="B154" s="379"/>
      <c r="C154" s="268" t="str">
        <f>IF(A154="","",VLOOKUP(A154,Taulukko2[#All],5,FALSE))</f>
        <v>Preserved. Also known as Lembas.</v>
      </c>
      <c r="D154" s="201"/>
      <c r="E154" s="201"/>
      <c r="F154" s="173" t="str">
        <f>IF(A154="","",VLOOKUP(A154,Taulukko2[#All],4,FALSE))</f>
        <v>-</v>
      </c>
      <c r="G154" s="269">
        <f>IF(A154="","",VLOOKUP(A154,Taulukko2[#All],2,FALSE))</f>
        <v>1</v>
      </c>
      <c r="H154" s="270">
        <f>IF(A154="","",IF(I154="worn",0,ROUND(VLOOKUP(A154,Taulukko2[#All],6,FALSE)*G154,2)))</f>
        <v>0.13</v>
      </c>
      <c r="I154" s="250"/>
      <c r="J154" s="80" t="str">
        <f>IF(A154="","",VLOOKUP(A154,Taulukko2[#All],5,FALSE))</f>
        <v>Preserved. Also known as Lembas.</v>
      </c>
    </row>
    <row r="155" spans="1:10" ht="13.35" customHeight="1" x14ac:dyDescent="0.2">
      <c r="A155" s="378" t="s">
        <v>4930</v>
      </c>
      <c r="B155" s="379"/>
      <c r="C155" s="268" t="str">
        <f>IF(A155="","",VLOOKUP(A155,Taulukko2[#All],5,FALSE))</f>
        <v>Preserved. Also known as Lembas.</v>
      </c>
      <c r="D155" s="201"/>
      <c r="E155" s="201"/>
      <c r="F155" s="173" t="str">
        <f>IF(A155="","",VLOOKUP(A155,Taulukko2[#All],4,FALSE))</f>
        <v>-</v>
      </c>
      <c r="G155" s="269">
        <f>IF(A155="","",VLOOKUP(A155,Taulukko2[#All],2,FALSE))</f>
        <v>1</v>
      </c>
      <c r="H155" s="270">
        <f>IF(A155="","",IF(I155="worn",0,ROUND(VLOOKUP(A155,Taulukko2[#All],6,FALSE)*G155,2)))</f>
        <v>0.13</v>
      </c>
      <c r="I155" s="250"/>
      <c r="J155" s="80" t="str">
        <f>IF(A155="","",VLOOKUP(A155,Taulukko2[#All],5,FALSE))</f>
        <v>Preserved. Also known as Lembas.</v>
      </c>
    </row>
    <row r="156" spans="1:10" ht="13.35" customHeight="1" x14ac:dyDescent="0.2">
      <c r="A156" s="378" t="s">
        <v>4930</v>
      </c>
      <c r="B156" s="379"/>
      <c r="C156" s="268" t="str">
        <f>IF(A156="","",VLOOKUP(A156,Taulukko2[#All],5,FALSE))</f>
        <v>Preserved. Also known as Lembas.</v>
      </c>
      <c r="D156" s="201"/>
      <c r="E156" s="201"/>
      <c r="F156" s="173" t="str">
        <f>IF(A156="","",VLOOKUP(A156,Taulukko2[#All],4,FALSE))</f>
        <v>-</v>
      </c>
      <c r="G156" s="269">
        <f>IF(A156="","",VLOOKUP(A156,Taulukko2[#All],2,FALSE))</f>
        <v>1</v>
      </c>
      <c r="H156" s="270">
        <f>IF(A156="","",IF(I156="worn",0,ROUND(VLOOKUP(A156,Taulukko2[#All],6,FALSE)*G156,2)))</f>
        <v>0.13</v>
      </c>
      <c r="I156" s="250"/>
      <c r="J156" s="80" t="str">
        <f>IF(A156="","",VLOOKUP(A156,Taulukko2[#All],5,FALSE))</f>
        <v>Preserved. Also known as Lembas.</v>
      </c>
    </row>
    <row r="157" spans="1:10" ht="13.35" customHeight="1" x14ac:dyDescent="0.2">
      <c r="A157" s="378" t="s">
        <v>4930</v>
      </c>
      <c r="B157" s="379"/>
      <c r="C157" s="268" t="str">
        <f>IF(A157="","",VLOOKUP(A157,Taulukko2[#All],5,FALSE))</f>
        <v>Preserved. Also known as Lembas.</v>
      </c>
      <c r="D157" s="201"/>
      <c r="E157" s="201"/>
      <c r="F157" s="173" t="str">
        <f>IF(A157="","",VLOOKUP(A157,Taulukko2[#All],4,FALSE))</f>
        <v>-</v>
      </c>
      <c r="G157" s="269">
        <f>IF(A157="","",VLOOKUP(A157,Taulukko2[#All],2,FALSE))</f>
        <v>1</v>
      </c>
      <c r="H157" s="270">
        <f>IF(A157="","",IF(I157="worn",0,ROUND(VLOOKUP(A157,Taulukko2[#All],6,FALSE)*G157,2)))</f>
        <v>0.13</v>
      </c>
      <c r="I157" s="250"/>
      <c r="J157" s="80" t="str">
        <f>IF(A157="","",VLOOKUP(A157,Taulukko2[#All],5,FALSE))</f>
        <v>Preserved. Also known as Lembas.</v>
      </c>
    </row>
    <row r="158" spans="1:10" ht="13.35" customHeight="1" x14ac:dyDescent="0.2">
      <c r="A158" s="378" t="s">
        <v>4930</v>
      </c>
      <c r="B158" s="379"/>
      <c r="C158" s="268" t="str">
        <f>IF(A158="","",VLOOKUP(A158,Taulukko2[#All],5,FALSE))</f>
        <v>Preserved. Also known as Lembas.</v>
      </c>
      <c r="D158" s="201"/>
      <c r="E158" s="201"/>
      <c r="F158" s="173" t="str">
        <f>IF(A158="","",VLOOKUP(A158,Taulukko2[#All],4,FALSE))</f>
        <v>-</v>
      </c>
      <c r="G158" s="269">
        <f>IF(A158="","",VLOOKUP(A158,Taulukko2[#All],2,FALSE))</f>
        <v>1</v>
      </c>
      <c r="H158" s="270">
        <f>IF(A158="","",IF(I158="worn",0,ROUND(VLOOKUP(A158,Taulukko2[#All],6,FALSE)*G158,2)))</f>
        <v>0.13</v>
      </c>
      <c r="I158" s="250"/>
      <c r="J158" s="80" t="str">
        <f>IF(A158="","",VLOOKUP(A158,Taulukko2[#All],5,FALSE))</f>
        <v>Preserved. Also known as Lembas.</v>
      </c>
    </row>
    <row r="159" spans="1:10" ht="13.35" customHeight="1" x14ac:dyDescent="0.2">
      <c r="A159" s="378" t="s">
        <v>4930</v>
      </c>
      <c r="B159" s="379"/>
      <c r="C159" s="268" t="str">
        <f>IF(A159="","",VLOOKUP(A159,Taulukko2[#All],5,FALSE))</f>
        <v>Preserved. Also known as Lembas.</v>
      </c>
      <c r="D159" s="201"/>
      <c r="E159" s="201"/>
      <c r="F159" s="173" t="str">
        <f>IF(A159="","",VLOOKUP(A159,Taulukko2[#All],4,FALSE))</f>
        <v>-</v>
      </c>
      <c r="G159" s="269">
        <f>IF(A159="","",VLOOKUP(A159,Taulukko2[#All],2,FALSE))</f>
        <v>1</v>
      </c>
      <c r="H159" s="270">
        <f>IF(A159="","",IF(I159="worn",0,ROUND(VLOOKUP(A159,Taulukko2[#All],6,FALSE)*G159,2)))</f>
        <v>0.13</v>
      </c>
      <c r="I159" s="250"/>
      <c r="J159" s="80" t="str">
        <f>IF(A159="","",VLOOKUP(A159,Taulukko2[#All],5,FALSE))</f>
        <v>Preserved. Also known as Lembas.</v>
      </c>
    </row>
    <row r="160" spans="1:10" ht="13.35" customHeight="1" x14ac:dyDescent="0.2">
      <c r="A160" s="378" t="s">
        <v>4930</v>
      </c>
      <c r="B160" s="379"/>
      <c r="C160" s="268" t="str">
        <f>IF(A160="","",VLOOKUP(A160,Taulukko2[#All],5,FALSE))</f>
        <v>Preserved. Also known as Lembas.</v>
      </c>
      <c r="D160" s="201"/>
      <c r="E160" s="201"/>
      <c r="F160" s="173" t="str">
        <f>IF(A160="","",VLOOKUP(A160,Taulukko2[#All],4,FALSE))</f>
        <v>-</v>
      </c>
      <c r="G160" s="269">
        <f>IF(A160="","",VLOOKUP(A160,Taulukko2[#All],2,FALSE))</f>
        <v>1</v>
      </c>
      <c r="H160" s="270">
        <f>IF(A160="","",IF(I160="worn",0,ROUND(VLOOKUP(A160,Taulukko2[#All],6,FALSE)*G160,2)))</f>
        <v>0.13</v>
      </c>
      <c r="I160" s="250"/>
      <c r="J160" s="80" t="str">
        <f>IF(A160="","",VLOOKUP(A160,Taulukko2[#All],5,FALSE))</f>
        <v>Preserved. Also known as Lembas.</v>
      </c>
    </row>
    <row r="161" spans="1:10" ht="13.35" customHeight="1" x14ac:dyDescent="0.2">
      <c r="A161" s="378" t="s">
        <v>4930</v>
      </c>
      <c r="B161" s="379"/>
      <c r="C161" s="268" t="str">
        <f>IF(A161="","",VLOOKUP(A161,Taulukko2[#All],5,FALSE))</f>
        <v>Preserved. Also known as Lembas.</v>
      </c>
      <c r="D161" s="201"/>
      <c r="E161" s="201"/>
      <c r="F161" s="173" t="str">
        <f>IF(A161="","",VLOOKUP(A161,Taulukko2[#All],4,FALSE))</f>
        <v>-</v>
      </c>
      <c r="G161" s="269">
        <f>IF(A161="","",VLOOKUP(A161,Taulukko2[#All],2,FALSE))</f>
        <v>1</v>
      </c>
      <c r="H161" s="270">
        <f>IF(A161="","",IF(I161="worn",0,ROUND(VLOOKUP(A161,Taulukko2[#All],6,FALSE)*G161,2)))</f>
        <v>0.13</v>
      </c>
      <c r="I161" s="250"/>
      <c r="J161" s="80" t="str">
        <f>IF(A161="","",VLOOKUP(A161,Taulukko2[#All],5,FALSE))</f>
        <v>Preserved. Also known as Lembas.</v>
      </c>
    </row>
    <row r="162" spans="1:10" ht="13.35" customHeight="1" thickBot="1" x14ac:dyDescent="0.25">
      <c r="A162" s="376" t="s">
        <v>4930</v>
      </c>
      <c r="B162" s="377"/>
      <c r="C162" s="374" t="str">
        <f>IF(A162="","",VLOOKUP(A162,Taulukko2[#All],5,FALSE))</f>
        <v>Preserved. Also known as Lembas.</v>
      </c>
      <c r="D162" s="271"/>
      <c r="E162" s="271"/>
      <c r="F162" s="375" t="str">
        <f>IF(A162="","",VLOOKUP(A162,Taulukko2[#All],4,FALSE))</f>
        <v>-</v>
      </c>
      <c r="G162" s="272">
        <f>IF(A162="","",VLOOKUP(A162,Taulukko2[#All],2,FALSE))</f>
        <v>1</v>
      </c>
      <c r="H162" s="273">
        <f>IF(A162="","",IF(I162="worn",0,ROUND(VLOOKUP(A162,Taulukko2[#All],6,FALSE)*G162,2)))</f>
        <v>0.13</v>
      </c>
      <c r="I162" s="274"/>
      <c r="J162" s="80" t="str">
        <f>IF(A162="","",VLOOKUP(A162,Taulukko2[#All],5,FALSE))</f>
        <v>Preserved. Also known as Lembas.</v>
      </c>
    </row>
    <row r="163" spans="1:10" ht="13.35" customHeight="1" x14ac:dyDescent="0.2">
      <c r="A163" s="217"/>
      <c r="B163" s="117"/>
      <c r="C163" s="117"/>
      <c r="D163" s="117"/>
      <c r="E163" s="117"/>
      <c r="F163" s="117"/>
      <c r="G163" s="276"/>
      <c r="H163" s="373"/>
      <c r="I163" s="258"/>
    </row>
    <row r="164" spans="1:10" ht="13.35" customHeight="1" x14ac:dyDescent="0.2">
      <c r="A164" s="217" t="s">
        <v>4431</v>
      </c>
      <c r="B164" s="117"/>
      <c r="C164" s="117"/>
      <c r="D164" s="117"/>
      <c r="E164" s="275" t="s">
        <v>4432</v>
      </c>
      <c r="F164" s="117"/>
      <c r="G164" s="276"/>
      <c r="H164" s="277"/>
      <c r="I164" s="250"/>
    </row>
    <row r="165" spans="1:10" ht="13.35" customHeight="1" x14ac:dyDescent="0.2">
      <c r="A165" s="278" t="s">
        <v>4433</v>
      </c>
      <c r="B165" s="201"/>
      <c r="C165" s="201"/>
      <c r="D165" s="201"/>
      <c r="E165" s="201"/>
      <c r="F165" s="201"/>
      <c r="G165" s="269"/>
      <c r="H165" s="279"/>
      <c r="I165" s="250"/>
    </row>
    <row r="166" spans="1:10" ht="13.35" customHeight="1" x14ac:dyDescent="0.2">
      <c r="A166" s="278" t="s">
        <v>4434</v>
      </c>
      <c r="B166" s="201"/>
      <c r="C166" s="201"/>
      <c r="D166" s="201"/>
      <c r="E166" s="201"/>
      <c r="F166" s="201"/>
      <c r="G166" s="269"/>
      <c r="H166" s="279"/>
      <c r="I166" s="250"/>
    </row>
    <row r="167" spans="1:10" ht="13.35" customHeight="1" x14ac:dyDescent="0.2">
      <c r="A167" s="278" t="s">
        <v>4603</v>
      </c>
      <c r="B167" s="201"/>
      <c r="C167" s="201"/>
      <c r="D167" s="201"/>
      <c r="E167" s="201"/>
      <c r="F167" s="201"/>
      <c r="G167" s="269"/>
      <c r="H167" s="279"/>
      <c r="I167" s="250"/>
    </row>
    <row r="168" spans="1:10" ht="13.35" customHeight="1" x14ac:dyDescent="0.2">
      <c r="A168" s="215"/>
      <c r="B168" s="201"/>
      <c r="C168" s="201"/>
      <c r="D168" s="201"/>
      <c r="E168" s="201"/>
      <c r="F168" s="201"/>
      <c r="G168" s="269"/>
      <c r="H168" s="279"/>
      <c r="I168" s="250"/>
    </row>
    <row r="169" spans="1:10" ht="13.35" customHeight="1" x14ac:dyDescent="0.2">
      <c r="A169" s="215" t="s">
        <v>4604</v>
      </c>
      <c r="B169" s="201"/>
      <c r="C169" s="201"/>
      <c r="D169" s="201"/>
      <c r="E169" s="201"/>
      <c r="F169" s="201"/>
      <c r="G169" s="269">
        <v>1</v>
      </c>
      <c r="H169" s="279">
        <v>10</v>
      </c>
      <c r="I169" s="250"/>
    </row>
    <row r="170" spans="1:10" ht="13.35" customHeight="1" x14ac:dyDescent="0.2">
      <c r="A170" s="215"/>
      <c r="B170" s="201"/>
      <c r="C170" s="201"/>
      <c r="D170" s="201"/>
      <c r="E170" s="201"/>
      <c r="F170" s="201"/>
      <c r="G170" s="269"/>
      <c r="H170" s="279"/>
      <c r="I170" s="250"/>
    </row>
    <row r="171" spans="1:10" ht="13.35" customHeight="1" x14ac:dyDescent="0.2">
      <c r="A171" s="215"/>
      <c r="B171" s="201"/>
      <c r="C171" s="201"/>
      <c r="D171" s="201"/>
      <c r="E171" s="201"/>
      <c r="F171" s="201"/>
      <c r="G171" s="269"/>
      <c r="H171" s="279"/>
      <c r="I171" s="250"/>
    </row>
    <row r="172" spans="1:10" ht="13.35" customHeight="1" x14ac:dyDescent="0.2">
      <c r="A172" s="215"/>
      <c r="B172" s="201"/>
      <c r="C172" s="201"/>
      <c r="D172" s="201"/>
      <c r="E172" s="201"/>
      <c r="F172" s="201"/>
      <c r="G172" s="269"/>
      <c r="H172" s="279"/>
      <c r="I172" s="250"/>
    </row>
    <row r="173" spans="1:10" ht="13.35" customHeight="1" x14ac:dyDescent="0.2">
      <c r="A173" s="215"/>
      <c r="B173" s="201"/>
      <c r="C173" s="201"/>
      <c r="D173" s="201"/>
      <c r="E173" s="201"/>
      <c r="F173" s="201"/>
      <c r="G173" s="269"/>
      <c r="H173" s="279"/>
      <c r="I173" s="250"/>
    </row>
    <row r="174" spans="1:10" ht="13.35" customHeight="1" x14ac:dyDescent="0.2">
      <c r="A174" s="215"/>
      <c r="B174" s="201"/>
      <c r="C174" s="201"/>
      <c r="D174" s="201"/>
      <c r="E174" s="201"/>
      <c r="F174" s="201"/>
      <c r="G174" s="269"/>
      <c r="H174" s="279"/>
      <c r="I174" s="250"/>
    </row>
    <row r="175" spans="1:10" ht="13.35" customHeight="1" x14ac:dyDescent="0.2">
      <c r="A175" s="215"/>
      <c r="B175" s="201"/>
      <c r="C175" s="201"/>
      <c r="D175" s="201"/>
      <c r="E175" s="201"/>
      <c r="F175" s="201"/>
      <c r="G175" s="269"/>
      <c r="H175" s="279"/>
      <c r="I175" s="250"/>
    </row>
    <row r="176" spans="1:10" ht="13.35" customHeight="1" x14ac:dyDescent="0.2">
      <c r="A176" s="215"/>
      <c r="B176" s="201"/>
      <c r="C176" s="201"/>
      <c r="D176" s="201"/>
      <c r="E176" s="201"/>
      <c r="F176" s="201"/>
      <c r="G176" s="269"/>
      <c r="H176" s="279"/>
      <c r="I176" s="250"/>
    </row>
    <row r="177" spans="1:9" ht="13.35" customHeight="1" x14ac:dyDescent="0.2">
      <c r="A177" s="215"/>
      <c r="B177" s="201"/>
      <c r="C177" s="201"/>
      <c r="D177" s="201"/>
      <c r="E177" s="201"/>
      <c r="F177" s="201"/>
      <c r="G177" s="269"/>
      <c r="H177" s="279"/>
      <c r="I177" s="250"/>
    </row>
    <row r="178" spans="1:9" ht="13.35" customHeight="1" x14ac:dyDescent="0.2">
      <c r="A178" s="215"/>
      <c r="B178" s="201"/>
      <c r="C178" s="201"/>
      <c r="D178" s="201"/>
      <c r="E178" s="201"/>
      <c r="F178" s="201"/>
      <c r="G178" s="269"/>
      <c r="H178" s="279"/>
      <c r="I178" s="250"/>
    </row>
    <row r="179" spans="1:9" ht="13.35" customHeight="1" x14ac:dyDescent="0.2">
      <c r="A179" s="215"/>
      <c r="B179" s="201"/>
      <c r="C179" s="201"/>
      <c r="D179" s="201"/>
      <c r="E179" s="201"/>
      <c r="F179" s="201"/>
      <c r="G179" s="269"/>
      <c r="H179" s="279"/>
      <c r="I179" s="250"/>
    </row>
    <row r="180" spans="1:9" ht="13.35" customHeight="1" x14ac:dyDescent="0.2">
      <c r="A180" s="215"/>
      <c r="B180" s="201"/>
      <c r="C180" s="201"/>
      <c r="D180" s="201"/>
      <c r="E180" s="201"/>
      <c r="F180" s="201"/>
      <c r="G180" s="269"/>
      <c r="H180" s="279"/>
      <c r="I180" s="250"/>
    </row>
    <row r="181" spans="1:9" ht="13.35" customHeight="1" x14ac:dyDescent="0.2">
      <c r="A181" s="215"/>
      <c r="B181" s="201"/>
      <c r="C181" s="201"/>
      <c r="D181" s="201"/>
      <c r="E181" s="201"/>
      <c r="F181" s="201"/>
      <c r="G181" s="269"/>
      <c r="H181" s="279"/>
      <c r="I181" s="250"/>
    </row>
    <row r="182" spans="1:9" ht="13.35" customHeight="1" x14ac:dyDescent="0.2">
      <c r="A182" s="215"/>
      <c r="B182" s="201"/>
      <c r="C182" s="201"/>
      <c r="D182" s="201"/>
      <c r="E182" s="201"/>
      <c r="F182" s="201"/>
      <c r="G182" s="269"/>
      <c r="H182" s="279"/>
      <c r="I182" s="250"/>
    </row>
    <row r="183" spans="1:9" ht="13.35" customHeight="1" x14ac:dyDescent="0.2">
      <c r="A183" s="215"/>
      <c r="B183" s="201"/>
      <c r="C183" s="201"/>
      <c r="D183" s="201"/>
      <c r="E183" s="201"/>
      <c r="F183" s="201"/>
      <c r="G183" s="269"/>
      <c r="H183" s="279"/>
      <c r="I183" s="250"/>
    </row>
    <row r="184" spans="1:9" ht="13.35" customHeight="1" x14ac:dyDescent="0.2">
      <c r="A184" s="215"/>
      <c r="B184" s="201"/>
      <c r="C184" s="201"/>
      <c r="D184" s="201"/>
      <c r="E184" s="201"/>
      <c r="F184" s="201"/>
      <c r="G184" s="269"/>
      <c r="H184" s="279"/>
      <c r="I184" s="250"/>
    </row>
    <row r="185" spans="1:9" ht="13.35" customHeight="1" x14ac:dyDescent="0.2">
      <c r="A185" s="215"/>
      <c r="B185" s="201"/>
      <c r="C185" s="201"/>
      <c r="D185" s="201"/>
      <c r="E185" s="201"/>
      <c r="F185" s="201"/>
      <c r="G185" s="269"/>
      <c r="H185" s="279"/>
      <c r="I185" s="250"/>
    </row>
    <row r="186" spans="1:9" ht="13.35" customHeight="1" x14ac:dyDescent="0.2">
      <c r="A186" s="215"/>
      <c r="B186" s="201"/>
      <c r="C186" s="201"/>
      <c r="D186" s="201"/>
      <c r="E186" s="201"/>
      <c r="F186" s="201"/>
      <c r="G186" s="269"/>
      <c r="H186" s="279"/>
      <c r="I186" s="250"/>
    </row>
    <row r="187" spans="1:9" ht="13.35" customHeight="1" x14ac:dyDescent="0.2">
      <c r="A187" s="80"/>
    </row>
    <row r="188" spans="1:9" ht="13.35" customHeight="1" x14ac:dyDescent="0.2">
      <c r="A188" s="80"/>
    </row>
    <row r="189" spans="1:9" ht="13.35" customHeight="1" x14ac:dyDescent="0.2">
      <c r="A189" s="80"/>
    </row>
    <row r="190" spans="1:9" ht="13.35" customHeight="1" x14ac:dyDescent="0.2">
      <c r="A190" s="80"/>
    </row>
    <row r="191" spans="1:9" ht="13.35" customHeight="1" x14ac:dyDescent="0.2">
      <c r="A191" s="80"/>
    </row>
    <row r="192" spans="1:9" ht="13.35" customHeight="1" x14ac:dyDescent="0.2">
      <c r="A192" s="80"/>
    </row>
    <row r="193" spans="15:15" s="80" customFormat="1" ht="13.35" customHeight="1" x14ac:dyDescent="0.2">
      <c r="O193" s="207"/>
    </row>
    <row r="194" spans="15:15" s="80" customFormat="1" ht="13.35" customHeight="1" x14ac:dyDescent="0.2">
      <c r="O194" s="207"/>
    </row>
    <row r="195" spans="15:15" s="80" customFormat="1" ht="13.35" customHeight="1" x14ac:dyDescent="0.2">
      <c r="O195" s="207"/>
    </row>
    <row r="196" spans="15:15" s="80" customFormat="1" ht="13.35" customHeight="1" x14ac:dyDescent="0.2">
      <c r="O196" s="207"/>
    </row>
    <row r="197" spans="15:15" s="80" customFormat="1" ht="13.35" customHeight="1" x14ac:dyDescent="0.2">
      <c r="O197" s="207"/>
    </row>
    <row r="198" spans="15:15" s="80" customFormat="1" ht="13.35" customHeight="1" x14ac:dyDescent="0.2">
      <c r="O198" s="207"/>
    </row>
    <row r="199" spans="15:15" s="80" customFormat="1" ht="13.35" customHeight="1" x14ac:dyDescent="0.2">
      <c r="O199" s="207"/>
    </row>
    <row r="200" spans="15:15" s="80" customFormat="1" ht="13.35" customHeight="1" x14ac:dyDescent="0.2">
      <c r="O200" s="207"/>
    </row>
    <row r="201" spans="15:15" s="80" customFormat="1" ht="13.35" customHeight="1" x14ac:dyDescent="0.2">
      <c r="O201" s="207"/>
    </row>
    <row r="202" spans="15:15" s="80" customFormat="1" ht="13.35" customHeight="1" x14ac:dyDescent="0.2">
      <c r="O202" s="207"/>
    </row>
    <row r="203" spans="15:15" s="80" customFormat="1" ht="13.35" customHeight="1" x14ac:dyDescent="0.2">
      <c r="O203" s="207"/>
    </row>
    <row r="204" spans="15:15" s="80" customFormat="1" ht="13.35" customHeight="1" x14ac:dyDescent="0.2">
      <c r="O204" s="207"/>
    </row>
    <row r="205" spans="15:15" s="80" customFormat="1" ht="13.35" customHeight="1" x14ac:dyDescent="0.2">
      <c r="O205" s="207"/>
    </row>
    <row r="206" spans="15:15" s="80" customFormat="1" ht="13.35" customHeight="1" x14ac:dyDescent="0.2">
      <c r="O206" s="207"/>
    </row>
    <row r="207" spans="15:15" s="80" customFormat="1" ht="13.35" customHeight="1" x14ac:dyDescent="0.2">
      <c r="O207" s="207"/>
    </row>
    <row r="208" spans="15:15" s="80" customFormat="1" ht="13.35" customHeight="1" x14ac:dyDescent="0.2">
      <c r="O208" s="207"/>
    </row>
    <row r="209" spans="15:15" s="80" customFormat="1" ht="13.35" customHeight="1" x14ac:dyDescent="0.2">
      <c r="O209" s="207"/>
    </row>
    <row r="210" spans="15:15" s="80" customFormat="1" ht="13.35" customHeight="1" x14ac:dyDescent="0.2">
      <c r="O210" s="207"/>
    </row>
    <row r="211" spans="15:15" s="80" customFormat="1" ht="13.35" customHeight="1" x14ac:dyDescent="0.2">
      <c r="O211" s="207"/>
    </row>
    <row r="212" spans="15:15" s="80" customFormat="1" ht="13.35" customHeight="1" x14ac:dyDescent="0.2">
      <c r="O212" s="207"/>
    </row>
    <row r="213" spans="15:15" s="80" customFormat="1" ht="13.35" customHeight="1" x14ac:dyDescent="0.2">
      <c r="O213" s="207"/>
    </row>
    <row r="214" spans="15:15" s="80" customFormat="1" ht="13.35" customHeight="1" x14ac:dyDescent="0.2">
      <c r="O214" s="207"/>
    </row>
    <row r="215" spans="15:15" s="80" customFormat="1" ht="13.35" customHeight="1" x14ac:dyDescent="0.2">
      <c r="O215" s="207"/>
    </row>
    <row r="216" spans="15:15" s="80" customFormat="1" ht="13.35" customHeight="1" x14ac:dyDescent="0.2">
      <c r="O216" s="207"/>
    </row>
    <row r="217" spans="15:15" s="80" customFormat="1" ht="13.35" customHeight="1" x14ac:dyDescent="0.2">
      <c r="O217" s="207"/>
    </row>
    <row r="218" spans="15:15" s="80" customFormat="1" ht="13.35" customHeight="1" x14ac:dyDescent="0.2">
      <c r="O218" s="207"/>
    </row>
    <row r="219" spans="15:15" s="80" customFormat="1" ht="13.35" customHeight="1" x14ac:dyDescent="0.2">
      <c r="O219" s="207"/>
    </row>
    <row r="220" spans="15:15" s="80" customFormat="1" ht="13.35" customHeight="1" x14ac:dyDescent="0.2">
      <c r="O220" s="207"/>
    </row>
    <row r="221" spans="15:15" s="80" customFormat="1" ht="13.35" customHeight="1" x14ac:dyDescent="0.2">
      <c r="O221" s="207"/>
    </row>
    <row r="222" spans="15:15" s="80" customFormat="1" ht="13.35" customHeight="1" x14ac:dyDescent="0.2">
      <c r="O222" s="207"/>
    </row>
    <row r="223" spans="15:15" s="80" customFormat="1" ht="13.35" customHeight="1" x14ac:dyDescent="0.2">
      <c r="O223" s="207"/>
    </row>
    <row r="224" spans="15:15" s="80" customFormat="1" ht="13.35" customHeight="1" x14ac:dyDescent="0.2">
      <c r="O224" s="207"/>
    </row>
    <row r="225" spans="15:15" s="80" customFormat="1" ht="13.35" customHeight="1" x14ac:dyDescent="0.2">
      <c r="O225" s="207"/>
    </row>
    <row r="226" spans="15:15" s="80" customFormat="1" ht="13.35" customHeight="1" x14ac:dyDescent="0.2">
      <c r="O226" s="207"/>
    </row>
    <row r="227" spans="15:15" s="80" customFormat="1" ht="13.35" customHeight="1" x14ac:dyDescent="0.2">
      <c r="O227" s="207"/>
    </row>
    <row r="228" spans="15:15" s="80" customFormat="1" ht="13.35" customHeight="1" x14ac:dyDescent="0.2">
      <c r="O228" s="207"/>
    </row>
    <row r="229" spans="15:15" s="80" customFormat="1" ht="13.35" customHeight="1" x14ac:dyDescent="0.2">
      <c r="O229" s="207"/>
    </row>
    <row r="230" spans="15:15" s="80" customFormat="1" ht="13.35" customHeight="1" x14ac:dyDescent="0.2">
      <c r="O230" s="207"/>
    </row>
    <row r="231" spans="15:15" s="80" customFormat="1" ht="13.35" customHeight="1" x14ac:dyDescent="0.2">
      <c r="O231" s="207"/>
    </row>
    <row r="232" spans="15:15" s="80" customFormat="1" ht="13.35" customHeight="1" x14ac:dyDescent="0.2">
      <c r="O232" s="207"/>
    </row>
    <row r="233" spans="15:15" s="80" customFormat="1" ht="13.35" customHeight="1" x14ac:dyDescent="0.2">
      <c r="O233" s="207"/>
    </row>
    <row r="234" spans="15:15" s="80" customFormat="1" ht="13.35" customHeight="1" x14ac:dyDescent="0.2">
      <c r="O234" s="207"/>
    </row>
    <row r="235" spans="15:15" s="80" customFormat="1" ht="13.35" customHeight="1" x14ac:dyDescent="0.2">
      <c r="O235" s="207"/>
    </row>
    <row r="236" spans="15:15" s="80" customFormat="1" ht="13.35" customHeight="1" x14ac:dyDescent="0.2">
      <c r="O236" s="207"/>
    </row>
    <row r="237" spans="15:15" s="80" customFormat="1" ht="13.35" customHeight="1" x14ac:dyDescent="0.2">
      <c r="O237" s="207"/>
    </row>
    <row r="238" spans="15:15" s="80" customFormat="1" ht="13.35" customHeight="1" x14ac:dyDescent="0.2">
      <c r="O238" s="207"/>
    </row>
    <row r="239" spans="15:15" s="80" customFormat="1" ht="13.35" customHeight="1" x14ac:dyDescent="0.2">
      <c r="O239" s="207"/>
    </row>
    <row r="240" spans="15:15" s="80" customFormat="1" ht="13.35" customHeight="1" x14ac:dyDescent="0.2">
      <c r="O240" s="207"/>
    </row>
    <row r="241" spans="15:15" s="80" customFormat="1" ht="13.35" customHeight="1" x14ac:dyDescent="0.2">
      <c r="O241" s="207"/>
    </row>
    <row r="242" spans="15:15" s="80" customFormat="1" ht="13.35" customHeight="1" x14ac:dyDescent="0.2">
      <c r="O242" s="207"/>
    </row>
    <row r="243" spans="15:15" s="80" customFormat="1" ht="13.35" customHeight="1" x14ac:dyDescent="0.2">
      <c r="O243" s="207"/>
    </row>
    <row r="244" spans="15:15" s="80" customFormat="1" ht="13.35" customHeight="1" x14ac:dyDescent="0.2">
      <c r="O244" s="207"/>
    </row>
    <row r="245" spans="15:15" s="80" customFormat="1" ht="13.35" customHeight="1" x14ac:dyDescent="0.2">
      <c r="O245" s="207"/>
    </row>
    <row r="246" spans="15:15" s="80" customFormat="1" ht="13.35" customHeight="1" x14ac:dyDescent="0.2">
      <c r="O246" s="207"/>
    </row>
    <row r="247" spans="15:15" s="80" customFormat="1" ht="13.35" customHeight="1" x14ac:dyDescent="0.2">
      <c r="O247" s="207"/>
    </row>
    <row r="248" spans="15:15" s="80" customFormat="1" ht="13.35" customHeight="1" x14ac:dyDescent="0.2">
      <c r="O248" s="207"/>
    </row>
    <row r="249" spans="15:15" s="80" customFormat="1" ht="13.35" customHeight="1" x14ac:dyDescent="0.2">
      <c r="O249" s="207"/>
    </row>
    <row r="250" spans="15:15" s="80" customFormat="1" ht="13.35" customHeight="1" x14ac:dyDescent="0.2">
      <c r="O250" s="207"/>
    </row>
    <row r="251" spans="15:15" s="80" customFormat="1" ht="13.35" customHeight="1" x14ac:dyDescent="0.2">
      <c r="O251" s="207"/>
    </row>
  </sheetData>
  <sheetProtection selectLockedCells="1" selectUnlockedCells="1"/>
  <dataConsolidate/>
  <mergeCells count="73">
    <mergeCell ref="K71:V71"/>
    <mergeCell ref="L72:V72"/>
    <mergeCell ref="K109:K112"/>
    <mergeCell ref="L109:V112"/>
    <mergeCell ref="K113:K116"/>
    <mergeCell ref="L113:V116"/>
    <mergeCell ref="K97:K100"/>
    <mergeCell ref="L97:V100"/>
    <mergeCell ref="K101:K104"/>
    <mergeCell ref="L101:V104"/>
    <mergeCell ref="K105:K108"/>
    <mergeCell ref="L105:V108"/>
    <mergeCell ref="K89:K92"/>
    <mergeCell ref="L89:V92"/>
    <mergeCell ref="K93:K96"/>
    <mergeCell ref="L93:V96"/>
    <mergeCell ref="K121:K124"/>
    <mergeCell ref="L121:V124"/>
    <mergeCell ref="K117:K120"/>
    <mergeCell ref="L117:V120"/>
    <mergeCell ref="K73:K76"/>
    <mergeCell ref="K77:K80"/>
    <mergeCell ref="K81:K84"/>
    <mergeCell ref="K85:K88"/>
    <mergeCell ref="L85:V88"/>
    <mergeCell ref="L73:V76"/>
    <mergeCell ref="A139:B139"/>
    <mergeCell ref="A149:B149"/>
    <mergeCell ref="A150:B150"/>
    <mergeCell ref="A151:B151"/>
    <mergeCell ref="A144:B144"/>
    <mergeCell ref="A145:B145"/>
    <mergeCell ref="A146:B146"/>
    <mergeCell ref="A147:B147"/>
    <mergeCell ref="A148:B148"/>
    <mergeCell ref="A140:B140"/>
    <mergeCell ref="A141:B141"/>
    <mergeCell ref="A142:B142"/>
    <mergeCell ref="A143:B143"/>
    <mergeCell ref="L77:V80"/>
    <mergeCell ref="L81:V84"/>
    <mergeCell ref="A137:B137"/>
    <mergeCell ref="A128:B128"/>
    <mergeCell ref="A129:B129"/>
    <mergeCell ref="A130:B130"/>
    <mergeCell ref="A131:B131"/>
    <mergeCell ref="A132:B132"/>
    <mergeCell ref="A152:B152"/>
    <mergeCell ref="W1:W3"/>
    <mergeCell ref="W9:W10"/>
    <mergeCell ref="B1:C1"/>
    <mergeCell ref="B2:C2"/>
    <mergeCell ref="B10:C10"/>
    <mergeCell ref="D10:I10"/>
    <mergeCell ref="N40:S47"/>
    <mergeCell ref="Q32:S38"/>
    <mergeCell ref="S1:V3"/>
    <mergeCell ref="S9:V10"/>
    <mergeCell ref="A138:B138"/>
    <mergeCell ref="A133:B133"/>
    <mergeCell ref="A134:B134"/>
    <mergeCell ref="A135:B135"/>
    <mergeCell ref="A136:B136"/>
    <mergeCell ref="A162:B162"/>
    <mergeCell ref="A153:B153"/>
    <mergeCell ref="A154:B154"/>
    <mergeCell ref="A155:B155"/>
    <mergeCell ref="A156:B156"/>
    <mergeCell ref="A157:B157"/>
    <mergeCell ref="A158:B158"/>
    <mergeCell ref="A159:B159"/>
    <mergeCell ref="A160:B160"/>
    <mergeCell ref="A161:B161"/>
  </mergeCells>
  <dataValidations count="4">
    <dataValidation type="list" allowBlank="1" showInputMessage="1" showErrorMessage="1" sqref="M3:M4" xr:uid="{00000000-0002-0000-0200-000001000000}">
      <formula1>Professions</formula1>
    </dataValidation>
    <dataValidation type="list" allowBlank="1" showInputMessage="1" showErrorMessage="1" sqref="B10" xr:uid="{00000000-0002-0000-0200-000005000000}">
      <formula1>Alignment</formula1>
    </dataValidation>
    <dataValidation type="list" allowBlank="1" showInputMessage="1" showErrorMessage="1" sqref="K59:K66" xr:uid="{00000000-0002-0000-0200-000007000000}">
      <formula1>Talents</formula1>
    </dataValidation>
    <dataValidation type="list" allowBlank="1" showInputMessage="1" showErrorMessage="1" sqref="K51:K55" xr:uid="{00000000-0002-0000-0200-000006000000}">
      <formula1>Flaws</formula1>
    </dataValidation>
  </dataValidations>
  <printOptions horizontalCentered="1"/>
  <pageMargins left="0.39374999999999999" right="0.39374999999999999" top="0.39374999999999999" bottom="0.39374999999999999" header="0.51180555555555551" footer="0.51180555555555551"/>
  <pageSetup paperSize="9" scale="90" orientation="portrait" useFirstPageNumber="1" horizontalDpi="300" verticalDpi="300" r:id="rId1"/>
  <headerFooter alignWithMargins="0"/>
  <rowBreaks count="2" manualBreakCount="2">
    <brk id="63" max="16383" man="1"/>
    <brk id="125" max="16383" man="1"/>
  </rowBreaks>
  <colBreaks count="1" manualBreakCount="1">
    <brk id="9" max="1048575" man="1"/>
  </colBreaks>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200-000002000000}">
          <x14:formula1>
            <xm:f>Races!$AN$200:$AN$203</xm:f>
          </x14:formula1>
          <xm:sqref>E7</xm:sqref>
        </x14:dataValidation>
        <x14:dataValidation type="list" allowBlank="1" showInputMessage="1" showErrorMessage="1" xr:uid="{00000000-0002-0000-0200-000003000000}">
          <x14:formula1>
            <xm:f>Races!$AQ$200:$AQ$203</xm:f>
          </x14:formula1>
          <xm:sqref>E8</xm:sqref>
        </x14:dataValidation>
        <x14:dataValidation type="list" allowBlank="1" showInputMessage="1" showErrorMessage="1" xr:uid="{00000000-0002-0000-0200-000004000000}">
          <x14:formula1>
            <xm:f>Races!$AK$200:$AK$203</xm:f>
          </x14:formula1>
          <xm:sqref>E9</xm:sqref>
        </x14:dataValidation>
        <x14:dataValidation type="list" allowBlank="1" showInputMessage="1" showErrorMessage="1" xr:uid="{2ACDB265-DB7F-49AD-BBCD-5463EAB06629}">
          <x14:formula1>
            <xm:f>EQ!$A$1:$A$175</xm:f>
          </x14:formula1>
          <xm:sqref>A128:A162</xm:sqref>
        </x14:dataValidation>
        <x14:dataValidation type="list" allowBlank="1" showInputMessage="1" showErrorMessage="1" xr:uid="{00000000-0002-0000-0200-000000000000}">
          <x14:formula1>
            <xm:f>Races!$B$3:$B$102</xm:f>
          </x14:formula1>
          <xm:sqref>M2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Y404"/>
  <sheetViews>
    <sheetView view="pageBreakPreview" topLeftCell="A79" zoomScaleNormal="100" zoomScaleSheetLayoutView="100" workbookViewId="0">
      <selection activeCell="A87" sqref="A87"/>
    </sheetView>
  </sheetViews>
  <sheetFormatPr defaultColWidth="11.5703125" defaultRowHeight="12.75" customHeight="1" x14ac:dyDescent="0.2"/>
  <cols>
    <col min="1" max="1" width="4.5703125" style="80" customWidth="1"/>
    <col min="2" max="2" width="20.85546875" style="80" customWidth="1"/>
    <col min="3" max="4" width="8.7109375" style="80" customWidth="1"/>
    <col min="5" max="5" width="7.7109375" style="112" customWidth="1"/>
    <col min="6" max="7" width="7.7109375" style="80" customWidth="1"/>
    <col min="8" max="8" width="8.5703125" style="80" customWidth="1"/>
    <col min="9" max="11" width="7.7109375" style="80" customWidth="1"/>
    <col min="12" max="12" width="1.42578125" style="80" customWidth="1"/>
    <col min="13" max="13" width="6.5703125" style="80" customWidth="1"/>
    <col min="14" max="14" width="6.28515625" style="80" customWidth="1"/>
    <col min="15" max="15" width="6.140625" style="80" customWidth="1"/>
    <col min="16" max="16" width="6.85546875" style="80" customWidth="1"/>
    <col min="17" max="17" width="10.28515625" style="112" bestFit="1" customWidth="1"/>
    <col min="18" max="19" width="28.85546875" style="80" customWidth="1"/>
    <col min="20" max="20" width="28.28515625" style="80" customWidth="1"/>
    <col min="21" max="21" width="16" style="80" customWidth="1"/>
    <col min="22" max="24" width="37.5703125" style="80" customWidth="1"/>
    <col min="25" max="16384" width="11.5703125" style="80"/>
  </cols>
  <sheetData>
    <row r="1" spans="1:25" ht="12.75" customHeight="1" x14ac:dyDescent="0.2">
      <c r="A1" s="280"/>
      <c r="B1" s="280"/>
      <c r="C1" s="281"/>
      <c r="D1" s="281"/>
      <c r="E1" s="281"/>
      <c r="F1" s="281"/>
      <c r="G1" s="281"/>
      <c r="H1" s="282"/>
      <c r="I1" s="281"/>
      <c r="J1" s="283"/>
      <c r="K1" s="281"/>
      <c r="M1" s="284" t="s">
        <v>359</v>
      </c>
      <c r="N1" s="285" t="s">
        <v>360</v>
      </c>
      <c r="O1" s="285" t="s">
        <v>207</v>
      </c>
      <c r="P1" s="286" t="s">
        <v>361</v>
      </c>
      <c r="Q1" s="287" t="s">
        <v>358</v>
      </c>
      <c r="R1" s="288" t="str">
        <f>Stats!B5</f>
        <v>Sorcerer</v>
      </c>
      <c r="S1" s="289" t="str">
        <f>IF(Stats!B6="","",Stats!B6)</f>
        <v>Fighter</v>
      </c>
      <c r="T1" s="290"/>
      <c r="U1" s="291" t="s">
        <v>362</v>
      </c>
      <c r="V1" s="80" t="s">
        <v>363</v>
      </c>
      <c r="W1" s="80" t="s">
        <v>364</v>
      </c>
      <c r="X1" s="80" t="s">
        <v>365</v>
      </c>
      <c r="Y1" s="80" t="s">
        <v>4002</v>
      </c>
    </row>
    <row r="2" spans="1:25" ht="12.75" customHeight="1" x14ac:dyDescent="0.2">
      <c r="A2" s="424" t="s">
        <v>366</v>
      </c>
      <c r="B2" s="424"/>
      <c r="C2" s="106" t="s">
        <v>4015</v>
      </c>
      <c r="D2" s="106" t="s">
        <v>4016</v>
      </c>
      <c r="E2" s="106" t="s">
        <v>367</v>
      </c>
      <c r="F2" s="106" t="s">
        <v>368</v>
      </c>
      <c r="G2" s="106" t="s">
        <v>369</v>
      </c>
      <c r="H2" s="292" t="s">
        <v>370</v>
      </c>
      <c r="I2" s="106" t="s">
        <v>371</v>
      </c>
      <c r="J2" s="293" t="s">
        <v>205</v>
      </c>
      <c r="K2" s="106" t="s">
        <v>207</v>
      </c>
      <c r="M2" s="294" t="s">
        <v>374</v>
      </c>
      <c r="N2" s="295" t="s">
        <v>375</v>
      </c>
      <c r="O2" s="296" t="s">
        <v>367</v>
      </c>
      <c r="P2" s="297">
        <f>Stats!$E$23-$P$388</f>
        <v>77.888888888888886</v>
      </c>
      <c r="Q2" s="298" t="s">
        <v>367</v>
      </c>
      <c r="R2" s="299" t="s">
        <v>372</v>
      </c>
      <c r="S2" s="235" t="s">
        <v>372</v>
      </c>
      <c r="T2" s="300" t="s">
        <v>373</v>
      </c>
      <c r="U2" s="291" t="s">
        <v>376</v>
      </c>
      <c r="V2" s="301" t="s">
        <v>2207</v>
      </c>
      <c r="W2" s="301" t="s">
        <v>3242</v>
      </c>
      <c r="X2" s="301" t="s">
        <v>3389</v>
      </c>
      <c r="Y2" s="80">
        <v>1</v>
      </c>
    </row>
    <row r="3" spans="1:25" ht="12.75" customHeight="1" x14ac:dyDescent="0.2">
      <c r="A3" s="244" t="s">
        <v>380</v>
      </c>
      <c r="B3" s="204"/>
      <c r="C3" s="226" t="str">
        <f>HLOOKUP(Stats!$B$5,Professions!$E$2:$DD$57,2,0)</f>
        <v>11</v>
      </c>
      <c r="D3" s="226" t="str">
        <f>IF(Stats!$B$6="","",HLOOKUP(Stats!$B$6,Professions!$E$2:$DD$57,2,0))</f>
        <v>2/2/2</v>
      </c>
      <c r="E3" s="302"/>
      <c r="F3" s="302">
        <f>VLOOKUP(E3,Professions!$DQ$1:$DX$203,2)</f>
        <v>-15</v>
      </c>
      <c r="G3" s="302" t="s">
        <v>381</v>
      </c>
      <c r="H3" s="302">
        <f>Stats!$I$18+Stats!$I$14</f>
        <v>16</v>
      </c>
      <c r="I3" s="303">
        <f>IF(Stats!$M$4="",HLOOKUP(Stats!$B$5,Professions!$F$59:$DD$114,Professions!$DF$3,0),((HLOOKUP(Stats!$B$5,Professions!$F$59:$DD$114,Professions!$DF$3,0)+HLOOKUP(Stats!$B$6,Professions!$F$59:$DD$114,Professions!$DF$3,0))/2-0.01))</f>
        <v>4.99</v>
      </c>
      <c r="J3" s="302"/>
      <c r="K3" s="303">
        <f>F3+H3+I3+J3</f>
        <v>5.99</v>
      </c>
      <c r="M3" s="304"/>
      <c r="O3" s="80">
        <f t="shared" ref="O3:O34" si="0">E3+M3</f>
        <v>0</v>
      </c>
      <c r="P3" s="115"/>
      <c r="Q3" s="305"/>
      <c r="R3" s="215" t="s">
        <v>382</v>
      </c>
      <c r="S3" s="215" t="s">
        <v>382</v>
      </c>
      <c r="T3" s="306">
        <f>HLOOKUP(Stats!$B$2,Races!AK4:EG50,47,FALSE)</f>
        <v>12</v>
      </c>
      <c r="U3" s="307" t="s">
        <v>4003</v>
      </c>
      <c r="V3" s="135">
        <f>IF(VLOOKUP($V$2,Professions!$E$258:$DK$383,Y3,0)="","",(VLOOKUP($V$2,Professions!$E$258:$DK$383,Y3,0)))</f>
        <v>37</v>
      </c>
      <c r="W3" s="135">
        <f>IF(VLOOKUP($W$2,Professions!$E$258:$DK$383,Y3,0)="","",(VLOOKUP($W$2,Professions!$E$258:$DK$383,Y3,0)))</f>
        <v>29</v>
      </c>
      <c r="X3" s="135">
        <f>IF(VLOOKUP($X$2,Professions!$E$258:$DK$383,Y3,0)="","",(VLOOKUP($X$2,Professions!$E$258:$DK$383,Y3,0)))</f>
        <v>26</v>
      </c>
      <c r="Y3" s="80">
        <v>2</v>
      </c>
    </row>
    <row r="4" spans="1:25" ht="12.75" customHeight="1" x14ac:dyDescent="0.2">
      <c r="A4" s="175"/>
      <c r="B4" s="308" t="s">
        <v>383</v>
      </c>
      <c r="C4" s="111" t="str">
        <f>HLOOKUP(Stats!$B$5,Professions!$E$2:$DD$57,2,0)</f>
        <v>11</v>
      </c>
      <c r="D4" s="111" t="str">
        <f>IF(Stats!$B$6="","",HLOOKUP(Stats!$B$6,Professions!$E$2:$DD$57,2,0))</f>
        <v>2/2/2</v>
      </c>
      <c r="E4" s="111"/>
      <c r="F4" s="111">
        <f>VLOOKUP(E4,Professions!$DQ$1:$DX$203,3)</f>
        <v>-15</v>
      </c>
      <c r="G4" s="111" t="s">
        <v>384</v>
      </c>
      <c r="H4" s="111">
        <f>Stats!$I$18</f>
        <v>9</v>
      </c>
      <c r="I4" s="111"/>
      <c r="J4" s="111"/>
      <c r="K4" s="197">
        <f>F4+H4+I4+J4+$K$3</f>
        <v>-9.9999999999997868E-3</v>
      </c>
      <c r="M4" s="304"/>
      <c r="O4" s="80">
        <f t="shared" si="0"/>
        <v>0</v>
      </c>
      <c r="P4" s="115"/>
      <c r="Q4" s="305"/>
      <c r="R4" s="233" t="str">
        <f>IF(HLOOKUP(Stats!$B$2,Taulukko11[[Sarake2]:[Hakua varten]],Races!EH55,0)=0,"",HLOOKUP(Stats!$B$2,Taulukko11[[Sarake2]:[Hakua varten]],Races!EH55,0))</f>
        <v/>
      </c>
      <c r="S4" s="233"/>
      <c r="T4" s="308" t="str">
        <f>HLOOKUP(Stats!$B$2,Taulukko13[[Dragonborn]:[Hakua varten]],Races!EH73,0)</f>
        <v>Acrobatics</v>
      </c>
      <c r="U4" s="307" t="s">
        <v>385</v>
      </c>
      <c r="V4" s="135" t="str">
        <f>IF(VLOOKUP($V$2,Professions!$E$258:$DK$383,Y4,0)="","",(VLOOKUP($V$2,Professions!$E$258:$DK$383,Y4,0)))</f>
        <v>Normal + d10</v>
      </c>
      <c r="W4" s="135" t="str">
        <f>IF(VLOOKUP($W$2,Professions!$E$258:$DK$383,Y4,0)="","",(VLOOKUP($W$2,Professions!$E$258:$DK$383,Y4,0)))</f>
        <v>Normal</v>
      </c>
      <c r="X4" s="135" t="str">
        <f>IF(VLOOKUP($X$2,Professions!$E$258:$DK$383,Y4,0)="","",(VLOOKUP($X$2,Professions!$E$258:$DK$383,Y4,0)))</f>
        <v>Normal</v>
      </c>
      <c r="Y4" s="80">
        <v>3</v>
      </c>
    </row>
    <row r="5" spans="1:25" ht="12.75" customHeight="1" x14ac:dyDescent="0.2">
      <c r="A5" s="244" t="s">
        <v>386</v>
      </c>
      <c r="B5" s="204"/>
      <c r="C5" s="226" t="str">
        <f>HLOOKUP(Stats!$B$5,Professions!$E$2:$DD$57,3,0)</f>
        <v>9</v>
      </c>
      <c r="D5" s="226" t="str">
        <f>IF(Stats!$B$6="","",HLOOKUP(Stats!$B$6,Professions!$E$2:$DD$57,3,0))</f>
        <v>1/1/1</v>
      </c>
      <c r="E5" s="302"/>
      <c r="F5" s="302">
        <f>VLOOKUP(E5,Professions!$DQ$1:$DX$203,2)</f>
        <v>-15</v>
      </c>
      <c r="G5" s="302" t="s">
        <v>387</v>
      </c>
      <c r="H5" s="302">
        <f>Stats!$I$18+Stats!$I$14</f>
        <v>16</v>
      </c>
      <c r="I5" s="303">
        <f>IF(Stats!$M$4="",HLOOKUP(Stats!$B$5,Professions!$F$59:$DD$114,Professions!$DF$4,0),((HLOOKUP(Stats!$B$5,Professions!$F$59:$DD$114,Professions!$DF$4,0)+HLOOKUP(Stats!$B$6,Professions!$F$59:$DD$114,Professions!$DF$4,0))/2-0.01))</f>
        <v>4.99</v>
      </c>
      <c r="J5" s="302"/>
      <c r="K5" s="303">
        <f>F5+H5+I5+J5</f>
        <v>5.99</v>
      </c>
      <c r="M5" s="304"/>
      <c r="O5" s="80">
        <f t="shared" si="0"/>
        <v>0</v>
      </c>
      <c r="P5" s="115"/>
      <c r="Q5" s="305">
        <f>HLOOKUP(Stats!$B$2,Races!$AK$4:$EH$50,Races!EH5,0)</f>
        <v>1</v>
      </c>
      <c r="R5" s="233" t="str">
        <f>IF(HLOOKUP(Stats!$B$2,Taulukko11[[Sarake2]:[Hakua varten]],Races!EH56,0)=0,"",HLOOKUP(Stats!$B$2,Taulukko11[[Sarake2]:[Hakua varten]],Races!EH56,0))</f>
        <v/>
      </c>
      <c r="S5" s="233"/>
      <c r="T5" s="308" t="str">
        <f>HLOOKUP(Stats!$B$2,Taulukko13[[Dragonborn]:[Hakua varten]],Races!EH74,0)</f>
        <v>Acting</v>
      </c>
      <c r="U5" s="307" t="s">
        <v>205</v>
      </c>
      <c r="V5" s="135" t="str">
        <f>IF(VLOOKUP($V$2,Professions!$E$258:$DK$383,Y5,0)="","",(VLOOKUP($V$2,Professions!$E$258:$DK$383,Y5,0)))</f>
        <v>Stolen jewelry worth 10d10 sp (50)</v>
      </c>
      <c r="W5" s="135" t="str">
        <f>IF(VLOOKUP($W$2,Professions!$E$258:$DK$383,Y5,0)="","",(VLOOKUP($W$2,Professions!$E$258:$DK$383,Y5,0)))</f>
        <v>Book, +10NM to Siege Engineering (50)</v>
      </c>
      <c r="X5" s="135" t="str">
        <f>IF(VLOOKUP($X$2,Professions!$E$258:$DK$383,Y5,0)="","",(VLOOKUP($X$2,Professions!$E$258:$DK$383,Y5,0)))</f>
        <v>Useful underworld contacts (30)</v>
      </c>
      <c r="Y5" s="80">
        <v>4</v>
      </c>
    </row>
    <row r="6" spans="1:25" ht="12.75" customHeight="1" x14ac:dyDescent="0.2">
      <c r="A6" s="179"/>
      <c r="B6" s="257" t="s">
        <v>388</v>
      </c>
      <c r="C6" s="111" t="str">
        <f>HLOOKUP(Stats!$B$5,Professions!$E$2:$DD$57,3,0)</f>
        <v>9</v>
      </c>
      <c r="D6" s="111" t="str">
        <f>IF(Stats!$B$6="","",HLOOKUP(Stats!$B$6,Professions!$E$2:$DD$57,3,0))</f>
        <v>1/1/1</v>
      </c>
      <c r="E6" s="111"/>
      <c r="F6" s="111">
        <f>VLOOKUP(E6,Professions!$DQ$1:$DX$203,3)</f>
        <v>-15</v>
      </c>
      <c r="G6" s="111" t="s">
        <v>389</v>
      </c>
      <c r="H6" s="111">
        <f>Stats!$I$14</f>
        <v>7</v>
      </c>
      <c r="I6" s="111"/>
      <c r="J6" s="111"/>
      <c r="K6" s="197">
        <f>F6+H6+I6+J6+$K$5</f>
        <v>-2.0099999999999998</v>
      </c>
      <c r="M6" s="304"/>
      <c r="O6" s="80">
        <f t="shared" si="0"/>
        <v>0</v>
      </c>
      <c r="P6" s="115"/>
      <c r="Q6" s="305">
        <f>HLOOKUP(Stats!$B$2,Races!$AK$4:$EH$50,Races!EH6,0)</f>
        <v>0</v>
      </c>
      <c r="R6" s="233" t="str">
        <f>IF(HLOOKUP(Stats!$B$2,Taulukko11[[Sarake2]:[Hakua varten]],Races!EH57,0)=0,"",HLOOKUP(Stats!$B$2,Taulukko11[[Sarake2]:[Hakua varten]],Races!EH57,0))</f>
        <v/>
      </c>
      <c r="S6" s="233"/>
      <c r="T6" s="308" t="str">
        <f>HLOOKUP(Stats!$B$2,Taulukko13[[Dragonborn]:[Hakua varten]],Races!EH75,0)</f>
        <v>Ambush</v>
      </c>
      <c r="U6" s="307"/>
      <c r="V6" s="135" t="str">
        <f>IF(VLOOKUP($V$2,Professions!$E$258:$DK$383,Y6,0)="","",(VLOOKUP($V$2,Professions!$E$258:$DK$383,Y6,0)))</f>
        <v>Stolen gems worth 10d10 sp (50)</v>
      </c>
      <c r="W6" s="135" t="str">
        <f>IF(VLOOKUP($W$2,Professions!$E$258:$DK$383,Y6,0)="","",(VLOOKUP($W$2,Professions!$E$258:$DK$383,Y6,0)))</f>
        <v>Book, +10NM to Mechanition (40)</v>
      </c>
      <c r="X6" s="135" t="str">
        <f>IF(VLOOKUP($X$2,Professions!$E$258:$DK$383,Y6,0)="","",(VLOOKUP($X$2,Professions!$E$258:$DK$383,Y6,0)))</f>
        <v>Tattered rags, +5NM Begging (40)</v>
      </c>
      <c r="Y6" s="80">
        <v>5</v>
      </c>
    </row>
    <row r="7" spans="1:25" ht="12.75" customHeight="1" x14ac:dyDescent="0.2">
      <c r="A7" s="148"/>
      <c r="B7" s="309" t="s">
        <v>390</v>
      </c>
      <c r="C7" s="111" t="str">
        <f>HLOOKUP(Stats!$B$5,Professions!$E$2:$DD$57,3,0)</f>
        <v>9</v>
      </c>
      <c r="D7" s="111" t="str">
        <f>IF(Stats!$B$6="","",HLOOKUP(Stats!$B$6,Professions!$E$2:$DD$57,3,0))</f>
        <v>1/1/1</v>
      </c>
      <c r="E7" s="111"/>
      <c r="F7" s="111">
        <f>VLOOKUP(E7,Professions!$DQ$1:$DX$203,3)</f>
        <v>-15</v>
      </c>
      <c r="G7" s="111" t="s">
        <v>389</v>
      </c>
      <c r="H7" s="111">
        <f>Stats!$I$14</f>
        <v>7</v>
      </c>
      <c r="I7" s="111"/>
      <c r="J7" s="111"/>
      <c r="K7" s="197">
        <f>F7+H7+I7+J7+$K$5</f>
        <v>-2.0099999999999998</v>
      </c>
      <c r="M7" s="304"/>
      <c r="O7" s="80">
        <f t="shared" si="0"/>
        <v>0</v>
      </c>
      <c r="P7" s="115"/>
      <c r="Q7" s="305">
        <f>HLOOKUP(Stats!$B$2,Races!$AK$4:$EH$50,Races!EH7,0)</f>
        <v>1</v>
      </c>
      <c r="R7" s="233" t="str">
        <f>IF(HLOOKUP(Stats!$B$2,Taulukko11[[Sarake2]:[Hakua varten]],Races!EH58,0)=0,"",HLOOKUP(Stats!$B$2,Taulukko11[[Sarake2]:[Hakua varten]],Races!EH58,0))</f>
        <v/>
      </c>
      <c r="S7" s="233"/>
      <c r="T7" s="308" t="str">
        <f>HLOOKUP(Stats!$B$2,Taulukko13[[Dragonborn]:[Hakua varten]],Races!EH76,0)</f>
        <v>Animal Handling</v>
      </c>
      <c r="U7" s="307"/>
      <c r="V7" s="135" t="str">
        <f>IF(VLOOKUP($V$2,Professions!$E$258:$DK$383,Y7,0)="","",(VLOOKUP($V$2,Professions!$E$258:$DK$383,Y7,0)))</f>
        <v>Stolen document (e.g. Map, deed etc) (50)</v>
      </c>
      <c r="W7" s="135" t="str">
        <f>IF(VLOOKUP($W$2,Professions!$E$258:$DK$383,Y7,0)="","",(VLOOKUP($W$2,Professions!$E$258:$DK$383,Y7,0)))</f>
        <v>Draft of superior siege engine</v>
      </c>
      <c r="X7" s="135" t="str">
        <f>IF(VLOOKUP($X$2,Professions!$E$258:$DK$383,Y7,0)="","",(VLOOKUP($X$2,Professions!$E$258:$DK$383,Y7,0)))</f>
        <v>Random bubonic disease (20)</v>
      </c>
      <c r="Y7" s="80">
        <v>6</v>
      </c>
    </row>
    <row r="8" spans="1:25" ht="12.75" customHeight="1" x14ac:dyDescent="0.2">
      <c r="A8" s="244" t="s">
        <v>391</v>
      </c>
      <c r="B8" s="204"/>
      <c r="C8" s="226" t="str">
        <f>HLOOKUP(Stats!$B$5,Professions!$E$2:$DD$57,4,0)</f>
        <v>10</v>
      </c>
      <c r="D8" s="226" t="str">
        <f>IF(Stats!$B$6="","",HLOOKUP(Stats!$B$6,Professions!$E$2:$DD$57,4,0))</f>
        <v>2/2/2</v>
      </c>
      <c r="E8" s="302"/>
      <c r="F8" s="302">
        <f>VLOOKUP(E8,Professions!$DQ$1:$DX$203,2)</f>
        <v>-15</v>
      </c>
      <c r="G8" s="302" t="s">
        <v>381</v>
      </c>
      <c r="H8" s="302">
        <f>Stats!$I$18+Stats!$I$14</f>
        <v>16</v>
      </c>
      <c r="I8" s="303">
        <f>IF(Stats!$M$4="",HLOOKUP(Stats!$B$5,Professions!$F$59:$DD$114,Professions!$DF$5,0),((HLOOKUP(Stats!$B$5,Professions!$F$59:$DD$114,Professions!$DF$5,0)+HLOOKUP(Stats!$B$6,Professions!$F$59:$DD$114,Professions!$DF$5,0))/2-0.01))</f>
        <v>4.99</v>
      </c>
      <c r="J8" s="302"/>
      <c r="K8" s="303">
        <f>F8+H8+I8+J8</f>
        <v>5.99</v>
      </c>
      <c r="M8" s="304"/>
      <c r="O8" s="80">
        <f t="shared" si="0"/>
        <v>0</v>
      </c>
      <c r="P8" s="115"/>
      <c r="Q8" s="305">
        <f>HLOOKUP(Stats!$B$2,Races!$AK$4:$EH$50,Races!EH8,0)</f>
        <v>0</v>
      </c>
      <c r="R8" s="233" t="str">
        <f>IF(HLOOKUP(Stats!$B$2,Taulukko11[[Sarake2]:[Hakua varten]],Races!EH59,0)=0,"",HLOOKUP(Stats!$B$2,Taulukko11[[Sarake2]:[Hakua varten]],Races!EH59,0))</f>
        <v/>
      </c>
      <c r="S8" s="233"/>
      <c r="T8" s="308" t="str">
        <f>HLOOKUP(Stats!$B$2,Taulukko13[[Dragonborn]:[Hakua varten]],Races!EH77,0)</f>
        <v>Appraisal</v>
      </c>
      <c r="U8" s="307"/>
      <c r="V8" s="135" t="str">
        <f>IF(VLOOKUP($V$2,Professions!$E$258:$DK$383,Y8,0)="","",(VLOOKUP($V$2,Professions!$E$258:$DK$383,Y8,0)))</f>
        <v>Disguise kit +10NM (40)</v>
      </c>
      <c r="W8" s="135" t="str">
        <f>IF(VLOOKUP($W$2,Professions!$E$258:$DK$383,Y8,0)="","",(VLOOKUP($W$2,Professions!$E$258:$DK$383,Y8,0)))</f>
        <v>Mercenary contacts (20)</v>
      </c>
      <c r="X8" s="135" t="str">
        <f>IF(VLOOKUP($X$2,Professions!$E$258:$DK$383,Y8,0)="","",(VLOOKUP($X$2,Professions!$E$258:$DK$383,Y8,0)))</f>
        <v>Make-up kit, +10NM Disguise (20)</v>
      </c>
      <c r="Y8" s="80">
        <v>7</v>
      </c>
    </row>
    <row r="9" spans="1:25" ht="12.75" customHeight="1" x14ac:dyDescent="0.2">
      <c r="A9" s="175"/>
      <c r="B9" s="308" t="s">
        <v>392</v>
      </c>
      <c r="C9" s="111" t="str">
        <f>HLOOKUP(Stats!$B$5,Professions!$E$2:$DD$57,4,0)</f>
        <v>10</v>
      </c>
      <c r="D9" s="111" t="str">
        <f>IF(Stats!$B$6="","",HLOOKUP(Stats!$B$6,Professions!$E$2:$DD$57,4,0))</f>
        <v>2/2/2</v>
      </c>
      <c r="E9" s="111"/>
      <c r="F9" s="111">
        <f>VLOOKUP(E9,Professions!$DQ$1:$DX$203,3)</f>
        <v>-15</v>
      </c>
      <c r="G9" s="111" t="s">
        <v>384</v>
      </c>
      <c r="H9" s="111">
        <f>Stats!$I$18</f>
        <v>9</v>
      </c>
      <c r="I9" s="111"/>
      <c r="J9" s="111"/>
      <c r="K9" s="197">
        <f>F9+H9+I9+J9+$K$8</f>
        <v>-9.9999999999997868E-3</v>
      </c>
      <c r="M9" s="304"/>
      <c r="O9" s="80">
        <f t="shared" si="0"/>
        <v>0</v>
      </c>
      <c r="P9" s="115"/>
      <c r="Q9" s="305">
        <f>HLOOKUP(Stats!$B$2,Races!$AK$4:$EH$50,Races!EH9,0)</f>
        <v>0</v>
      </c>
      <c r="R9" s="233" t="str">
        <f>IF(HLOOKUP(Stats!$B$2,Taulukko11[[Sarake2]:[Hakua varten]],Races!EH60,0)=0,"",HLOOKUP(Stats!$B$2,Taulukko11[[Sarake2]:[Hakua varten]],Races!EH60,0))</f>
        <v/>
      </c>
      <c r="S9" s="233"/>
      <c r="T9" s="308" t="str">
        <f>HLOOKUP(Stats!$B$2,Taulukko13[[Dragonborn]:[Hakua varten]],Races!EH78,0)</f>
        <v>Any Armour skills</v>
      </c>
      <c r="U9" s="307"/>
      <c r="V9" s="135" t="str">
        <f>IF(VLOOKUP($V$2,Professions!$E$258:$DK$383,Y9,0)="","",(VLOOKUP($V$2,Professions!$E$258:$DK$383,Y9,0)))</f>
        <v>Reliable fencing contacts (30)</v>
      </c>
      <c r="W9" s="135" t="str">
        <f>IF(VLOOKUP($W$2,Professions!$E$258:$DK$383,Y9,0)="","",(VLOOKUP($W$2,Professions!$E$258:$DK$383,Y9,0)))</f>
        <v>Tool kit, +10NM (0)</v>
      </c>
      <c r="X9" s="135" t="str">
        <f>IF(VLOOKUP($X$2,Professions!$E$258:$DK$383,Y9,0)="","",(VLOOKUP($X$2,Professions!$E$258:$DK$383,Y9,0)))</f>
        <v>Small palm knife, +10NM pick pockets (30)</v>
      </c>
      <c r="Y9" s="80">
        <v>8</v>
      </c>
    </row>
    <row r="10" spans="1:25" ht="12.75" customHeight="1" x14ac:dyDescent="0.2">
      <c r="A10" s="244" t="s">
        <v>393</v>
      </c>
      <c r="B10" s="204"/>
      <c r="C10" s="226" t="str">
        <f>HLOOKUP(Stats!$B$5,Professions!$E$2:$DD$57,5,0)</f>
        <v>2/5</v>
      </c>
      <c r="D10" s="226" t="str">
        <f>IF(Stats!$B$6="","",HLOOKUP(Stats!$B$6,Professions!$E$2:$DD$57,5,0))</f>
        <v>2/5</v>
      </c>
      <c r="E10" s="302"/>
      <c r="F10" s="302">
        <f>VLOOKUP(E10,Professions!$DQ$1:$DX$203,2)</f>
        <v>-15</v>
      </c>
      <c r="G10" s="302" t="s">
        <v>394</v>
      </c>
      <c r="H10" s="302">
        <f>Stats!$I$20+Stats!$I$21</f>
        <v>7</v>
      </c>
      <c r="I10" s="303">
        <f>IF(Stats!$M$4="",HLOOKUP(Stats!$B$5,Professions!$F$59:$DD$114,Professions!$DF$6,0),((HLOOKUP(Stats!$B$5,Professions!$F$59:$DD$114,Professions!$DF$6,0)+HLOOKUP(Stats!$B$6,Professions!$F$59:$DD$114,Professions!$DF$6,0))/2-0.01))</f>
        <v>-0.01</v>
      </c>
      <c r="J10" s="302"/>
      <c r="K10" s="303">
        <f>F10+H10+I10+J10</f>
        <v>-8.01</v>
      </c>
      <c r="M10" s="304"/>
      <c r="O10" s="80">
        <f t="shared" si="0"/>
        <v>0</v>
      </c>
      <c r="P10" s="115"/>
      <c r="Q10" s="305"/>
      <c r="R10" s="233" t="str">
        <f>IF(HLOOKUP(Stats!$B$2,Taulukko11[[Sarake2]:[Hakua varten]],Races!EH61,0)=0,"",HLOOKUP(Stats!$B$2,Taulukko11[[Sarake2]:[Hakua varten]],Races!EH61,0))</f>
        <v/>
      </c>
      <c r="S10" s="233"/>
      <c r="T10" s="308" t="str">
        <f>HLOOKUP(Stats!$B$2,Taulukko13[[Dragonborn]:[Hakua varten]],Races!EH79,0)</f>
        <v>Body Development</v>
      </c>
      <c r="U10" s="307"/>
      <c r="V10" s="135" t="str">
        <f>IF(VLOOKUP($V$2,Professions!$E$258:$DK$383,Y10,0)="","",(VLOOKUP($V$2,Professions!$E$258:$DK$383,Y10,0)))</f>
        <v>Underworld contacts (0)</v>
      </c>
      <c r="W10" s="135" t="str">
        <f>IF(VLOOKUP($W$2,Professions!$E$258:$DK$383,Y10,0)="","",(VLOOKUP($W$2,Professions!$E$258:$DK$383,Y10,0)))</f>
        <v/>
      </c>
      <c r="X10" s="135" t="str">
        <f>IF(VLOOKUP($X$2,Professions!$E$258:$DK$383,Y10,0)="","",(VLOOKUP($X$2,Professions!$E$258:$DK$383,Y10,0)))</f>
        <v>Tin begging cup (0)</v>
      </c>
      <c r="Y10" s="80">
        <v>9</v>
      </c>
    </row>
    <row r="11" spans="1:25" ht="12.75" customHeight="1" x14ac:dyDescent="0.2">
      <c r="A11" s="179"/>
      <c r="B11" s="257" t="s">
        <v>395</v>
      </c>
      <c r="C11" s="111" t="str">
        <f>HLOOKUP(Stats!$B$5,Professions!$E$2:$DD$57,5,0)</f>
        <v>2/5</v>
      </c>
      <c r="D11" s="111" t="str">
        <f>IF(Stats!$B$6="","",HLOOKUP(Stats!$B$6,Professions!$E$2:$DD$57,5,0))</f>
        <v>2/5</v>
      </c>
      <c r="E11" s="111"/>
      <c r="F11" s="111">
        <f>VLOOKUP(E11,Professions!$DQ$1:$DX$203,3)</f>
        <v>-15</v>
      </c>
      <c r="G11" s="111" t="s">
        <v>220</v>
      </c>
      <c r="H11" s="111">
        <f>Stats!$I$15</f>
        <v>7</v>
      </c>
      <c r="I11" s="111"/>
      <c r="J11" s="111"/>
      <c r="K11" s="197">
        <f t="shared" ref="K11:K20" si="1">F11+H11+I11+J11+$K$10</f>
        <v>-16.009999999999998</v>
      </c>
      <c r="M11" s="304"/>
      <c r="O11" s="80">
        <f t="shared" si="0"/>
        <v>0</v>
      </c>
      <c r="P11" s="115"/>
      <c r="Q11" s="305"/>
      <c r="R11" s="233"/>
      <c r="S11" s="233"/>
      <c r="T11" s="308" t="str">
        <f>HLOOKUP(Stats!$B$2,Taulukko13[[Dragonborn]:[Hakua varten]],Races!EH80,0)</f>
        <v>Bribery</v>
      </c>
      <c r="U11" s="307"/>
      <c r="V11" s="135" t="str">
        <f>IF(VLOOKUP($V$2,Professions!$E$258:$DK$383,Y11,0)="","",(VLOOKUP($V$2,Professions!$E$258:$DK$383,Y11,0)))</f>
        <v/>
      </c>
      <c r="W11" s="135" t="str">
        <f>IF(VLOOKUP($W$2,Professions!$E$258:$DK$383,Y11,0)="","",(VLOOKUP($W$2,Professions!$E$258:$DK$383,Y11,0)))</f>
        <v/>
      </c>
      <c r="X11" s="135" t="str">
        <f>IF(VLOOKUP($X$2,Professions!$E$258:$DK$383,Y11,0)="","",(VLOOKUP($X$2,Professions!$E$258:$DK$383,Y11,0)))</f>
        <v/>
      </c>
      <c r="Y11" s="80">
        <v>10</v>
      </c>
    </row>
    <row r="12" spans="1:25" ht="12.75" customHeight="1" x14ac:dyDescent="0.2">
      <c r="A12" s="111"/>
      <c r="B12" s="246" t="s">
        <v>396</v>
      </c>
      <c r="C12" s="111" t="str">
        <f>HLOOKUP(Stats!$B$5,Professions!$E$2:$DD$57,5,0)</f>
        <v>2/5</v>
      </c>
      <c r="D12" s="111" t="str">
        <f>IF(Stats!$B$6="","",HLOOKUP(Stats!$B$6,Professions!$E$2:$DD$57,5,0))</f>
        <v>2/5</v>
      </c>
      <c r="E12" s="111"/>
      <c r="F12" s="111">
        <f>VLOOKUP(E12,Professions!$DQ$1:$DX$203,3)</f>
        <v>-15</v>
      </c>
      <c r="G12" s="111" t="s">
        <v>389</v>
      </c>
      <c r="H12" s="111">
        <f>Stats!$I$14</f>
        <v>7</v>
      </c>
      <c r="I12" s="111"/>
      <c r="J12" s="111"/>
      <c r="K12" s="197">
        <f t="shared" si="1"/>
        <v>-16.009999999999998</v>
      </c>
      <c r="M12" s="304"/>
      <c r="O12" s="80">
        <f t="shared" si="0"/>
        <v>0</v>
      </c>
      <c r="P12" s="115"/>
      <c r="Q12" s="305"/>
      <c r="R12" s="233"/>
      <c r="S12" s="233"/>
      <c r="T12" s="308" t="str">
        <f>HLOOKUP(Stats!$B$2,Taulukko13[[Dragonborn]:[Hakua varten]],Races!EH81,0)</f>
        <v>Climbing</v>
      </c>
      <c r="U12" s="307"/>
      <c r="V12" s="135" t="str">
        <f>IF(VLOOKUP($V$2,Professions!$E$258:$DK$383,Y12,0)="","",(VLOOKUP($V$2,Professions!$E$258:$DK$383,Y12,0)))</f>
        <v/>
      </c>
      <c r="W12" s="135" t="str">
        <f>IF(VLOOKUP($W$2,Professions!$E$258:$DK$383,Y12,0)="","",(VLOOKUP($W$2,Professions!$E$258:$DK$383,Y12,0)))</f>
        <v/>
      </c>
      <c r="X12" s="135" t="str">
        <f>IF(VLOOKUP($X$2,Professions!$E$258:$DK$383,Y12,0)="","",(VLOOKUP($X$2,Professions!$E$258:$DK$383,Y12,0)))</f>
        <v/>
      </c>
      <c r="Y12" s="80">
        <v>11</v>
      </c>
    </row>
    <row r="13" spans="1:25" ht="12.75" customHeight="1" x14ac:dyDescent="0.2">
      <c r="A13" s="111"/>
      <c r="B13" s="246" t="s">
        <v>397</v>
      </c>
      <c r="C13" s="111" t="str">
        <f>HLOOKUP(Stats!$B$5,Professions!$E$2:$DD$57,5,0)</f>
        <v>2/5</v>
      </c>
      <c r="D13" s="111" t="str">
        <f>IF(Stats!$B$6="","",HLOOKUP(Stats!$B$6,Professions!$E$2:$DD$57,5,0))</f>
        <v>2/5</v>
      </c>
      <c r="E13" s="111"/>
      <c r="F13" s="111">
        <f>VLOOKUP(E13,Professions!$DQ$1:$DX$203,3)</f>
        <v>-15</v>
      </c>
      <c r="G13" s="111" t="s">
        <v>220</v>
      </c>
      <c r="H13" s="111">
        <f>Stats!$I$15</f>
        <v>7</v>
      </c>
      <c r="I13" s="111"/>
      <c r="J13" s="111"/>
      <c r="K13" s="197">
        <f t="shared" si="1"/>
        <v>-16.009999999999998</v>
      </c>
      <c r="M13" s="304"/>
      <c r="O13" s="80">
        <f t="shared" si="0"/>
        <v>0</v>
      </c>
      <c r="P13" s="115"/>
      <c r="Q13" s="305"/>
      <c r="R13" s="233"/>
      <c r="S13" s="181"/>
      <c r="T13" s="308" t="str">
        <f>HLOOKUP(Stats!$B$2,Taulukko13[[Dragonborn]:[Hakua varten]],Races!EH82,0)</f>
        <v>Contortions</v>
      </c>
      <c r="U13" s="307"/>
      <c r="V13" s="135" t="str">
        <f>IF(VLOOKUP($V$2,Professions!$E$258:$DK$383,Y13,0)="","",(VLOOKUP($V$2,Professions!$E$258:$DK$383,Y13,0)))</f>
        <v/>
      </c>
      <c r="W13" s="135" t="str">
        <f>IF(VLOOKUP($W$2,Professions!$E$258:$DK$383,Y13,0)="","",(VLOOKUP($W$2,Professions!$E$258:$DK$383,Y13,0)))</f>
        <v/>
      </c>
      <c r="X13" s="135" t="str">
        <f>IF(VLOOKUP($X$2,Professions!$E$258:$DK$383,Y13,0)="","",(VLOOKUP($X$2,Professions!$E$258:$DK$383,Y13,0)))</f>
        <v/>
      </c>
      <c r="Y13" s="80">
        <v>12</v>
      </c>
    </row>
    <row r="14" spans="1:25" ht="12.75" customHeight="1" x14ac:dyDescent="0.2">
      <c r="A14" s="111"/>
      <c r="B14" s="246" t="s">
        <v>398</v>
      </c>
      <c r="C14" s="111" t="str">
        <f>HLOOKUP(Stats!$B$5,Professions!$E$2:$DD$57,5,0)</f>
        <v>2/5</v>
      </c>
      <c r="D14" s="111" t="str">
        <f>IF(Stats!$B$6="","",HLOOKUP(Stats!$B$6,Professions!$E$2:$DD$57,5,0))</f>
        <v>2/5</v>
      </c>
      <c r="E14" s="111"/>
      <c r="F14" s="111">
        <f>VLOOKUP(E14,Professions!$DQ$1:$DX$203,3)</f>
        <v>-15</v>
      </c>
      <c r="G14" s="111" t="s">
        <v>399</v>
      </c>
      <c r="H14" s="111">
        <f>Stats!$I$16</f>
        <v>0</v>
      </c>
      <c r="I14" s="111"/>
      <c r="J14" s="111"/>
      <c r="K14" s="197">
        <f t="shared" si="1"/>
        <v>-23.009999999999998</v>
      </c>
      <c r="M14" s="304"/>
      <c r="O14" s="80">
        <f t="shared" si="0"/>
        <v>0</v>
      </c>
      <c r="P14" s="115"/>
      <c r="Q14" s="305"/>
      <c r="R14" s="233" t="str">
        <f>IF(HLOOKUP(Stats!$B$2,Taulukko11[[Sarake2]:[Hakua varten]],Races!EH65,0)=0,"",HLOOKUP(Stats!$B$2,Taulukko11[[Sarake2]:[Hakua varten]],Races!EH65,0))</f>
        <v/>
      </c>
      <c r="S14" s="181"/>
      <c r="T14" s="308" t="str">
        <f>HLOOKUP(Stats!$B$2,Taulukko13[[Dragonborn]:[Hakua varten]],Races!EH83,0)</f>
        <v>Cooking</v>
      </c>
      <c r="U14" s="307"/>
      <c r="V14" s="135" t="str">
        <f>IF(VLOOKUP($V$2,Professions!$E$258:$DK$383,Y14,0)="","",(VLOOKUP($V$2,Professions!$E$258:$DK$383,Y14,0)))</f>
        <v/>
      </c>
      <c r="W14" s="135" t="str">
        <f>IF(VLOOKUP($W$2,Professions!$E$258:$DK$383,Y14,0)="","",(VLOOKUP($W$2,Professions!$E$258:$DK$383,Y14,0)))</f>
        <v/>
      </c>
      <c r="X14" s="135" t="str">
        <f>IF(VLOOKUP($X$2,Professions!$E$258:$DK$383,Y14,0)="","",(VLOOKUP($X$2,Professions!$E$258:$DK$383,Y14,0)))</f>
        <v/>
      </c>
      <c r="Y14" s="80">
        <v>13</v>
      </c>
    </row>
    <row r="15" spans="1:25" ht="12.75" customHeight="1" x14ac:dyDescent="0.2">
      <c r="A15" s="111"/>
      <c r="B15" s="246" t="s">
        <v>400</v>
      </c>
      <c r="C15" s="111" t="str">
        <f>HLOOKUP(Stats!$B$5,Professions!$E$2:$DD$57,5,0)</f>
        <v>2/5</v>
      </c>
      <c r="D15" s="111" t="str">
        <f>IF(Stats!$B$6="","",HLOOKUP(Stats!$B$6,Professions!$E$2:$DD$57,5,0))</f>
        <v>2/5</v>
      </c>
      <c r="E15" s="111"/>
      <c r="F15" s="111">
        <f>VLOOKUP(E15,Professions!$DQ$1:$DX$203,3)</f>
        <v>-15</v>
      </c>
      <c r="G15" s="111" t="s">
        <v>389</v>
      </c>
      <c r="H15" s="111">
        <f>Stats!$I$14</f>
        <v>7</v>
      </c>
      <c r="I15" s="111"/>
      <c r="J15" s="111"/>
      <c r="K15" s="197">
        <f t="shared" si="1"/>
        <v>-16.009999999999998</v>
      </c>
      <c r="M15" s="304"/>
      <c r="O15" s="80">
        <f t="shared" si="0"/>
        <v>0</v>
      </c>
      <c r="P15" s="115"/>
      <c r="Q15" s="305"/>
      <c r="R15" s="233" t="str">
        <f>IF(HLOOKUP(Stats!$B$2,Taulukko11[[Sarake2]:[Hakua varten]],Races!EH66,0)=0,"",HLOOKUP(Stats!$B$2,Taulukko11[[Sarake2]:[Hakua varten]],Races!EH66,0))</f>
        <v/>
      </c>
      <c r="S15" s="181"/>
      <c r="T15" s="308" t="str">
        <f>HLOOKUP(Stats!$B$2,Taulukko13[[Dragonborn]:[Hakua varten]],Races!EH84,0)</f>
        <v>Dancing</v>
      </c>
      <c r="U15" s="307"/>
      <c r="V15" s="135" t="str">
        <f>IF(VLOOKUP($V$2,Professions!$E$258:$DK$383,Y15,0)="","",(VLOOKUP($V$2,Professions!$E$258:$DK$383,Y15,0)))</f>
        <v/>
      </c>
      <c r="W15" s="135" t="str">
        <f>IF(VLOOKUP($W$2,Professions!$E$258:$DK$383,Y15,0)="","",(VLOOKUP($W$2,Professions!$E$258:$DK$383,Y15,0)))</f>
        <v/>
      </c>
      <c r="X15" s="135" t="str">
        <f>IF(VLOOKUP($X$2,Professions!$E$258:$DK$383,Y15,0)="","",(VLOOKUP($X$2,Professions!$E$258:$DK$383,Y15,0)))</f>
        <v/>
      </c>
      <c r="Y15" s="80">
        <v>14</v>
      </c>
    </row>
    <row r="16" spans="1:25" ht="12.75" customHeight="1" x14ac:dyDescent="0.2">
      <c r="A16" s="111"/>
      <c r="B16" s="246" t="s">
        <v>400</v>
      </c>
      <c r="C16" s="111" t="str">
        <f>HLOOKUP(Stats!$B$5,Professions!$E$2:$DD$57,5,0)</f>
        <v>2/5</v>
      </c>
      <c r="D16" s="111" t="str">
        <f>IF(Stats!$B$6="","",HLOOKUP(Stats!$B$6,Professions!$E$2:$DD$57,5,0))</f>
        <v>2/5</v>
      </c>
      <c r="E16" s="111"/>
      <c r="F16" s="111">
        <f>VLOOKUP(E16,Professions!$DQ$1:$DX$203,3)</f>
        <v>-15</v>
      </c>
      <c r="G16" s="111" t="s">
        <v>389</v>
      </c>
      <c r="H16" s="111">
        <f>Stats!$I$14</f>
        <v>7</v>
      </c>
      <c r="I16" s="111"/>
      <c r="J16" s="111"/>
      <c r="K16" s="197">
        <f t="shared" si="1"/>
        <v>-16.009999999999998</v>
      </c>
      <c r="M16" s="304"/>
      <c r="O16" s="80">
        <f t="shared" si="0"/>
        <v>0</v>
      </c>
      <c r="P16" s="115"/>
      <c r="Q16" s="305"/>
      <c r="R16" s="217"/>
      <c r="S16" s="181"/>
      <c r="T16" s="308" t="str">
        <f>HLOOKUP(Stats!$B$2,Taulukko13[[Dragonborn]:[Hakua varten]],Races!EH85,0)</f>
        <v>Diplomacy</v>
      </c>
      <c r="U16" s="307"/>
      <c r="V16" s="135" t="str">
        <f>IF(VLOOKUP($V$2,Professions!$E$258:$DK$383,Y16,0)="","",(VLOOKUP($V$2,Professions!$E$258:$DK$383,Y16,0)))</f>
        <v/>
      </c>
      <c r="W16" s="135" t="str">
        <f>IF(VLOOKUP($W$2,Professions!$E$258:$DK$383,Y16,0)="","",(VLOOKUP($W$2,Professions!$E$258:$DK$383,Y16,0)))</f>
        <v/>
      </c>
      <c r="X16" s="135" t="str">
        <f>IF(VLOOKUP($X$2,Professions!$E$258:$DK$383,Y16,0)="","",(VLOOKUP($X$2,Professions!$E$258:$DK$383,Y16,0)))</f>
        <v/>
      </c>
      <c r="Y16" s="80">
        <v>15</v>
      </c>
    </row>
    <row r="17" spans="1:25" ht="12.75" customHeight="1" x14ac:dyDescent="0.2">
      <c r="A17" s="111"/>
      <c r="B17" s="246" t="s">
        <v>401</v>
      </c>
      <c r="C17" s="111" t="str">
        <f>HLOOKUP(Stats!$B$5,Professions!$E$2:$DD$57,5,0)</f>
        <v>2/5</v>
      </c>
      <c r="D17" s="111" t="str">
        <f>IF(Stats!$B$6="","",HLOOKUP(Stats!$B$6,Professions!$E$2:$DD$57,5,0))</f>
        <v>2/5</v>
      </c>
      <c r="E17" s="111"/>
      <c r="F17" s="111">
        <f>VLOOKUP(E17,Professions!$DQ$1:$DX$203,3)</f>
        <v>-15</v>
      </c>
      <c r="G17" s="111" t="s">
        <v>399</v>
      </c>
      <c r="H17" s="111">
        <f>Stats!$I$16</f>
        <v>0</v>
      </c>
      <c r="I17" s="111"/>
      <c r="J17" s="111"/>
      <c r="K17" s="197">
        <f t="shared" si="1"/>
        <v>-23.009999999999998</v>
      </c>
      <c r="M17" s="304"/>
      <c r="O17" s="80">
        <f t="shared" si="0"/>
        <v>0</v>
      </c>
      <c r="P17" s="115"/>
      <c r="Q17" s="305"/>
      <c r="R17" s="235" t="s">
        <v>402</v>
      </c>
      <c r="S17" s="235" t="s">
        <v>402</v>
      </c>
      <c r="T17" s="308" t="str">
        <f>HLOOKUP(Stats!$B$2,Taulukko13[[Dragonborn]:[Hakua varten]],Races!EH86,0)</f>
        <v>Disarming Traps</v>
      </c>
      <c r="U17" s="307"/>
      <c r="V17" s="135" t="str">
        <f>IF(VLOOKUP($V$2,Professions!$E$258:$DK$383,Y17,0)="","",(VLOOKUP($V$2,Professions!$E$258:$DK$383,Y17,0)))</f>
        <v/>
      </c>
      <c r="W17" s="135" t="str">
        <f>IF(VLOOKUP($W$2,Professions!$E$258:$DK$383,Y17,0)="","",(VLOOKUP($W$2,Professions!$E$258:$DK$383,Y17,0)))</f>
        <v/>
      </c>
      <c r="X17" s="135" t="str">
        <f>IF(VLOOKUP($X$2,Professions!$E$258:$DK$383,Y17,0)="","",(VLOOKUP($X$2,Professions!$E$258:$DK$383,Y17,0)))</f>
        <v/>
      </c>
      <c r="Y17" s="80">
        <v>16</v>
      </c>
    </row>
    <row r="18" spans="1:25" ht="12.75" customHeight="1" x14ac:dyDescent="0.2">
      <c r="A18" s="111"/>
      <c r="B18" s="246" t="s">
        <v>403</v>
      </c>
      <c r="C18" s="111" t="str">
        <f>HLOOKUP(Stats!$B$5,Professions!$E$2:$DD$57,5,0)</f>
        <v>2/5</v>
      </c>
      <c r="D18" s="111" t="str">
        <f>IF(Stats!$B$6="","",HLOOKUP(Stats!$B$6,Professions!$E$2:$DD$57,5,0))</f>
        <v>2/5</v>
      </c>
      <c r="E18" s="111"/>
      <c r="F18" s="111">
        <f>VLOOKUP(E18,Professions!$DQ$1:$DX$203,3)</f>
        <v>-15</v>
      </c>
      <c r="G18" s="111" t="s">
        <v>399</v>
      </c>
      <c r="H18" s="111">
        <f>Stats!$I$16</f>
        <v>0</v>
      </c>
      <c r="I18" s="111"/>
      <c r="J18" s="111"/>
      <c r="K18" s="197">
        <f t="shared" si="1"/>
        <v>-23.009999999999998</v>
      </c>
      <c r="M18" s="304"/>
      <c r="O18" s="80">
        <f t="shared" si="0"/>
        <v>0</v>
      </c>
      <c r="P18" s="115"/>
      <c r="Q18" s="305"/>
      <c r="R18" s="215" t="s">
        <v>382</v>
      </c>
      <c r="S18" s="215" t="s">
        <v>382</v>
      </c>
      <c r="T18" s="308">
        <f>HLOOKUP(Stats!$B$2,Taulukko13[[Dragonborn]:[Hakua varten]],Races!EH87,0)</f>
        <v>0</v>
      </c>
      <c r="U18" s="307"/>
      <c r="V18" s="135" t="str">
        <f>IF(VLOOKUP($V$2,Professions!$E$258:$DK$383,Y18,0)="","",(VLOOKUP($V$2,Professions!$E$258:$DK$383,Y18,0)))</f>
        <v/>
      </c>
      <c r="W18" s="135" t="str">
        <f>IF(VLOOKUP($W$2,Professions!$E$258:$DK$383,Y18,0)="","",(VLOOKUP($W$2,Professions!$E$258:$DK$383,Y18,0)))</f>
        <v/>
      </c>
      <c r="X18" s="135" t="str">
        <f>IF(VLOOKUP($X$2,Professions!$E$258:$DK$383,Y18,0)="","",(VLOOKUP($X$2,Professions!$E$258:$DK$383,Y18,0)))</f>
        <v/>
      </c>
      <c r="Y18" s="80">
        <v>17</v>
      </c>
    </row>
    <row r="19" spans="1:25" ht="12.75" customHeight="1" x14ac:dyDescent="0.2">
      <c r="A19" s="111"/>
      <c r="B19" s="246" t="s">
        <v>404</v>
      </c>
      <c r="C19" s="111" t="str">
        <f>HLOOKUP(Stats!$B$5,Professions!$E$2:$DD$57,5,0)</f>
        <v>2/5</v>
      </c>
      <c r="D19" s="111" t="str">
        <f>IF(Stats!$B$6="","",HLOOKUP(Stats!$B$6,Professions!$E$2:$DD$57,5,0))</f>
        <v>2/5</v>
      </c>
      <c r="E19" s="111"/>
      <c r="F19" s="111">
        <f>VLOOKUP(E19,Professions!$DQ$1:$DX$203,3)</f>
        <v>-15</v>
      </c>
      <c r="G19" s="111" t="s">
        <v>399</v>
      </c>
      <c r="H19" s="111">
        <f>Stats!$I$16</f>
        <v>0</v>
      </c>
      <c r="I19" s="111"/>
      <c r="J19" s="111"/>
      <c r="K19" s="197">
        <f t="shared" si="1"/>
        <v>-23.009999999999998</v>
      </c>
      <c r="M19" s="304"/>
      <c r="O19" s="80">
        <f t="shared" si="0"/>
        <v>0</v>
      </c>
      <c r="P19" s="115"/>
      <c r="Q19" s="305"/>
      <c r="R19" s="233" t="str">
        <f>IF(HLOOKUP(Stats!$B$5,Professions!$F$144:$DD$154,Professions!$DF$145,0)="","",HLOOKUP(Stats!$B$5,Professions!$F$144:$DD$154,Professions!$DF$145,0))</f>
        <v>Time Sense</v>
      </c>
      <c r="S19" s="233" t="str">
        <f>IF(Stats!$M$4="","",(IF(HLOOKUP(Stats!$B$6,Professions!$F$144:$DD$154,Professions!$DF$145,0)=0,"",HLOOKUP(Stats!$B$6,Professions!$F$144:$DD$154,Professions!$DF$145,0))))</f>
        <v>Combat Awareness</v>
      </c>
      <c r="T19" s="308" t="str">
        <f>HLOOKUP(Stats!$B$2,Taulukko13[[Dragonborn]:[Hakua varten]],Races!EH88,0)</f>
        <v>First Aid</v>
      </c>
      <c r="U19" s="307"/>
      <c r="V19" s="135" t="str">
        <f>IF(VLOOKUP($V$2,Professions!$E$258:$DK$383,Y19,0)="","",(VLOOKUP($V$2,Professions!$E$258:$DK$383,Y19,0)))</f>
        <v/>
      </c>
      <c r="W19" s="135" t="str">
        <f>IF(VLOOKUP($W$2,Professions!$E$258:$DK$383,Y19,0)="","",(VLOOKUP($W$2,Professions!$E$258:$DK$383,Y19,0)))</f>
        <v/>
      </c>
      <c r="X19" s="135" t="str">
        <f>IF(VLOOKUP($X$2,Professions!$E$258:$DK$383,Y19,0)="","",(VLOOKUP($X$2,Professions!$E$258:$DK$383,Y19,0)))</f>
        <v/>
      </c>
      <c r="Y19" s="80">
        <v>18</v>
      </c>
    </row>
    <row r="20" spans="1:25" ht="12.75" customHeight="1" x14ac:dyDescent="0.2">
      <c r="A20" s="148"/>
      <c r="B20" s="309" t="s">
        <v>405</v>
      </c>
      <c r="C20" s="111" t="str">
        <f>HLOOKUP(Stats!$B$5,Professions!$E$2:$DD$57,5,0)</f>
        <v>2/5</v>
      </c>
      <c r="D20" s="111" t="str">
        <f>IF(Stats!$B$6="","",HLOOKUP(Stats!$B$6,Professions!$E$2:$DD$57,5,0))</f>
        <v>2/5</v>
      </c>
      <c r="E20" s="111"/>
      <c r="F20" s="111">
        <f>VLOOKUP(E20,Professions!$DQ$1:$DX$203,3)</f>
        <v>-15</v>
      </c>
      <c r="G20" s="111" t="s">
        <v>220</v>
      </c>
      <c r="H20" s="111">
        <f>Stats!$I$15</f>
        <v>7</v>
      </c>
      <c r="I20" s="111"/>
      <c r="J20" s="111"/>
      <c r="K20" s="197">
        <f t="shared" si="1"/>
        <v>-16.009999999999998</v>
      </c>
      <c r="M20" s="304"/>
      <c r="O20" s="80">
        <f t="shared" si="0"/>
        <v>0</v>
      </c>
      <c r="P20" s="115"/>
      <c r="Q20" s="305"/>
      <c r="R20" s="233" t="str">
        <f>IF(HLOOKUP(Stats!$B$5,Professions!$F$144:$DD$154,Professions!$DF$146,0)="","",HLOOKUP(Stats!$B$5,Professions!$F$144:$DD$154,Professions!$DF$146,0))</f>
        <v>Magic Ritual</v>
      </c>
      <c r="S20" s="233" t="str">
        <f>IF(Stats!$M$4="","",(IF(HLOOKUP(Stats!$B$6,Professions!$F$144:$DD$154,Professions!$DF$146,0)=0,"",HLOOKUP(Stats!$B$6,Professions!$F$144:$DD$154,Professions!$DF$146,0))))</f>
        <v>Leadership</v>
      </c>
      <c r="T20" s="308" t="str">
        <f>HLOOKUP(Stats!$B$2,Taulukko13[[Dragonborn]:[Hakua varten]],Races!EH89,0)</f>
        <v>Fletching</v>
      </c>
      <c r="U20" s="307"/>
      <c r="V20" s="135" t="str">
        <f>IF(VLOOKUP($V$2,Professions!$E$258:$DK$383,Y20,0)="","",(VLOOKUP($V$2,Professions!$E$258:$DK$383,Y20,0)))</f>
        <v/>
      </c>
      <c r="W20" s="135" t="str">
        <f>IF(VLOOKUP($W$2,Professions!$E$258:$DK$383,Y20,0)="","",(VLOOKUP($W$2,Professions!$E$258:$DK$383,Y20,0)))</f>
        <v/>
      </c>
      <c r="X20" s="135" t="str">
        <f>IF(VLOOKUP($X$2,Professions!$E$258:$DK$383,Y20,0)="","",(VLOOKUP($X$2,Professions!$E$258:$DK$383,Y20,0)))</f>
        <v/>
      </c>
      <c r="Y20" s="80">
        <v>19</v>
      </c>
    </row>
    <row r="21" spans="1:25" ht="12.75" customHeight="1" x14ac:dyDescent="0.2">
      <c r="A21" s="244" t="s">
        <v>406</v>
      </c>
      <c r="B21" s="204"/>
      <c r="C21" s="226" t="str">
        <f>HLOOKUP(Stats!$B$5,Professions!$E$2:$DD$57,6,0)</f>
        <v>2/5</v>
      </c>
      <c r="D21" s="226" t="str">
        <f>IF(Stats!$B$6="","",HLOOKUP(Stats!$B$6,Professions!$E$2:$DD$57,6,0))</f>
        <v>2/5</v>
      </c>
      <c r="E21" s="302"/>
      <c r="F21" s="302">
        <f>VLOOKUP(E21,Professions!$DQ$1:$DX$203,2)</f>
        <v>-15</v>
      </c>
      <c r="G21" s="302" t="s">
        <v>407</v>
      </c>
      <c r="H21" s="302">
        <f>(Stats!$I$21+Stats!$I$22)</f>
        <v>15</v>
      </c>
      <c r="I21" s="303">
        <f>IF(Stats!$M$4="",HLOOKUP(Stats!$B$5,Professions!$F$59:$DD$114,Professions!$DF$7,0),((HLOOKUP(Stats!$B$5,Professions!$F$59:$DD$114,Professions!$DF$7,0)+HLOOKUP(Stats!$B$6,Professions!$F$59:$DD$114,Professions!$DF$7,0))/2-0.01))</f>
        <v>-0.01</v>
      </c>
      <c r="J21" s="302"/>
      <c r="K21" s="303">
        <f>F21+H21+I21+J21</f>
        <v>-0.01</v>
      </c>
      <c r="M21" s="304"/>
      <c r="O21" s="80">
        <f t="shared" si="0"/>
        <v>0</v>
      </c>
      <c r="P21" s="115"/>
      <c r="Q21" s="305"/>
      <c r="R21" s="233" t="str">
        <f>IF(HLOOKUP(Stats!$B$5,Professions!$F$144:$DD$154,Professions!$DF$147,0)="","",HLOOKUP(Stats!$B$5,Professions!$F$144:$DD$154,Professions!$DF$147,0))</f>
        <v>Spell Mastery</v>
      </c>
      <c r="S21" s="233" t="str">
        <f>IF(Stats!$M$4="","",(IF(HLOOKUP(Stats!$B$6,Professions!$F$144:$DD$154,Professions!$DF$147,0)=0,"",HLOOKUP(Stats!$B$6,Professions!$F$144:$DD$154,Professions!$DF$147,0))))</f>
        <v>Frenzy</v>
      </c>
      <c r="T21" s="308" t="str">
        <f>HLOOKUP(Stats!$B$2,Taulukko13[[Dragonborn]:[Hakua varten]],Races!EH90,0)</f>
        <v>Languages</v>
      </c>
      <c r="U21" s="307"/>
      <c r="V21" s="135" t="str">
        <f>IF(VLOOKUP($V$2,Professions!$E$258:$DK$383,Y21,0)="","",(VLOOKUP($V$2,Professions!$E$258:$DK$383,Y21,0)))</f>
        <v/>
      </c>
      <c r="W21" s="135" t="str">
        <f>IF(VLOOKUP($W$2,Professions!$E$258:$DK$383,Y21,0)="","",(VLOOKUP($W$2,Professions!$E$258:$DK$383,Y21,0)))</f>
        <v/>
      </c>
      <c r="X21" s="135" t="str">
        <f>IF(VLOOKUP($X$2,Professions!$E$258:$DK$383,Y21,0)="","",(VLOOKUP($X$2,Professions!$E$258:$DK$383,Y21,0)))</f>
        <v/>
      </c>
      <c r="Y21" s="80">
        <v>20</v>
      </c>
    </row>
    <row r="22" spans="1:25" ht="12.75" customHeight="1" x14ac:dyDescent="0.2">
      <c r="A22" s="179"/>
      <c r="B22" s="257" t="s">
        <v>408</v>
      </c>
      <c r="C22" s="111" t="str">
        <f>HLOOKUP(Stats!$B$5,Professions!$E$2:$DD$57,6,0)</f>
        <v>2/5</v>
      </c>
      <c r="D22" s="111" t="str">
        <f>IF(Stats!$B$6="","",HLOOKUP(Stats!$B$6,Professions!$E$2:$DD$57,6,0))</f>
        <v>2/5</v>
      </c>
      <c r="E22" s="111"/>
      <c r="F22" s="111">
        <f>VLOOKUP(E22,Professions!$DQ$1:$DX$203,3)</f>
        <v>-15</v>
      </c>
      <c r="G22" s="111" t="s">
        <v>409</v>
      </c>
      <c r="H22" s="111">
        <f>Stats!$I$20</f>
        <v>2</v>
      </c>
      <c r="I22" s="111"/>
      <c r="J22" s="111"/>
      <c r="K22" s="197">
        <f>F22+H22+I22+J22+$K$21</f>
        <v>-13.01</v>
      </c>
      <c r="M22" s="304"/>
      <c r="O22" s="80">
        <f t="shared" si="0"/>
        <v>0</v>
      </c>
      <c r="P22" s="115"/>
      <c r="Q22" s="305"/>
      <c r="R22" s="233" t="str">
        <f>IF(HLOOKUP(Stats!$B$5,Professions!$F$144:$DD$154,Professions!$DF$148,0)="","",HLOOKUP(Stats!$B$5,Professions!$F$144:$DD$154,Professions!$DF$148,0))</f>
        <v>Meditation</v>
      </c>
      <c r="S22" s="233" t="str">
        <f>IF(Stats!$M$4="","",(IF(HLOOKUP(Stats!$B$6,Professions!$F$144:$DD$154,Professions!$DF$148,0)=0,"",HLOOKUP(Stats!$B$6,Professions!$F$144:$DD$154,Professions!$DF$148,0))))</f>
        <v>One Non-Restricted Combat Maneuver</v>
      </c>
      <c r="T22" s="308" t="str">
        <f>HLOOKUP(Stats!$B$2,Taulukko13[[Dragonborn]:[Hakua varten]],Races!EH91,0)</f>
        <v>Leather-crafting</v>
      </c>
      <c r="U22" s="307" t="s">
        <v>411</v>
      </c>
      <c r="V22" s="135" t="str">
        <f>IF(VLOOKUP($V$2,Professions!$E$258:$DK$383,Y22,0)="","",(VLOOKUP($V$2,Professions!$E$258:$DK$383,Y22,0)))</f>
        <v>Subterfuge – Stealth CAT 4</v>
      </c>
      <c r="W22" s="135" t="str">
        <f>IF(VLOOKUP($W$2,Professions!$E$258:$DK$383,Y22,0)="","",(VLOOKUP($W$2,Professions!$E$258:$DK$383,Y22,0)))</f>
        <v>Communications CAT 1</v>
      </c>
      <c r="X22" s="135" t="str">
        <f>IF(VLOOKUP($X$2,Professions!$E$258:$DK$383,Y22,0)="","",(VLOOKUP($X$2,Professions!$E$258:$DK$383,Y22,0)))</f>
        <v>Subterfuge – Mechanics CAT 1</v>
      </c>
      <c r="Y22" s="80">
        <v>21</v>
      </c>
    </row>
    <row r="23" spans="1:25" ht="12.75" customHeight="1" x14ac:dyDescent="0.2">
      <c r="A23" s="111"/>
      <c r="B23" s="246" t="s">
        <v>410</v>
      </c>
      <c r="C23" s="111" t="str">
        <f>HLOOKUP(Stats!$B$5,Professions!$E$2:$DD$57,6,0)</f>
        <v>2/5</v>
      </c>
      <c r="D23" s="111" t="str">
        <f>IF(Stats!$B$6="","",HLOOKUP(Stats!$B$6,Professions!$E$2:$DD$57,6,0))</f>
        <v>2/5</v>
      </c>
      <c r="E23" s="111"/>
      <c r="F23" s="111">
        <f>VLOOKUP(E23,Professions!$DQ$1:$DX$203,3)</f>
        <v>-15</v>
      </c>
      <c r="G23" s="111" t="s">
        <v>389</v>
      </c>
      <c r="H23" s="111">
        <f>Stats!$I$14</f>
        <v>7</v>
      </c>
      <c r="I23" s="111"/>
      <c r="J23" s="111"/>
      <c r="K23" s="197">
        <f>F23+H23+I23+J23+$K$21</f>
        <v>-8.01</v>
      </c>
      <c r="M23" s="304"/>
      <c r="O23" s="80">
        <f t="shared" si="0"/>
        <v>0</v>
      </c>
      <c r="P23" s="115"/>
      <c r="Q23" s="305"/>
      <c r="R23" s="233" t="str">
        <f>IF(HLOOKUP(Stats!$B$5,Professions!$F$144:$DD$154,Professions!$DF$149,0)="","",HLOOKUP(Stats!$B$5,Professions!$F$144:$DD$154,Professions!$DF$149,0))</f>
        <v>Absorb Power Points</v>
      </c>
      <c r="S23" s="233" t="str">
        <f>IF(Stats!$M$4="","",(IF(HLOOKUP(Stats!$B$6,Professions!$F$144:$DD$154,Professions!$DF$149,0)=0,"",HLOOKUP(Stats!$B$6,Professions!$F$144:$DD$154,Professions!$DF$149,0))))</f>
        <v>Boxing</v>
      </c>
      <c r="T23" s="308" t="str">
        <f>HLOOKUP(Stats!$B$2,Taulukko13[[Dragonborn]:[Hakua varten]],Races!EH92,0)</f>
        <v>Observation</v>
      </c>
      <c r="U23" s="307"/>
      <c r="V23" s="135" t="str">
        <f>IF(VLOOKUP($V$2,Professions!$E$258:$DK$383,Y23,0)="","",(VLOOKUP($V$2,Professions!$E$258:$DK$383,Y23,0)))</f>
        <v>Picking Pockets 2</v>
      </c>
      <c r="W23" s="135" t="str">
        <f>IF(VLOOKUP($W$2,Professions!$E$258:$DK$383,Y23,0)="","",(VLOOKUP($W$2,Professions!$E$258:$DK$383,Y23,0)))</f>
        <v>Signaling 1</v>
      </c>
      <c r="X23" s="135" t="str">
        <f>IF(VLOOKUP($X$2,Professions!$E$258:$DK$383,Y23,0)="","",(VLOOKUP($X$2,Professions!$E$258:$DK$383,Y23,0)))</f>
        <v>Disguise 1</v>
      </c>
      <c r="Y23" s="80">
        <v>22</v>
      </c>
    </row>
    <row r="24" spans="1:25" ht="12.75" customHeight="1" x14ac:dyDescent="0.2">
      <c r="A24" s="111"/>
      <c r="B24" s="246" t="s">
        <v>412</v>
      </c>
      <c r="C24" s="111" t="str">
        <f>HLOOKUP(Stats!$B$5,Professions!$E$2:$DD$57,6,0)</f>
        <v>2/5</v>
      </c>
      <c r="D24" s="111" t="str">
        <f>IF(Stats!$B$6="","",HLOOKUP(Stats!$B$6,Professions!$E$2:$DD$57,6,0))</f>
        <v>2/5</v>
      </c>
      <c r="E24" s="111"/>
      <c r="F24" s="111">
        <f>VLOOKUP(E24,Professions!$DQ$1:$DX$203,3)</f>
        <v>-15</v>
      </c>
      <c r="G24" s="111" t="s">
        <v>413</v>
      </c>
      <c r="H24" s="111">
        <f>Stats!$I$17</f>
        <v>0</v>
      </c>
      <c r="I24" s="111"/>
      <c r="J24" s="111"/>
      <c r="K24" s="197">
        <f>F24+H24+I24+J24+$K$21</f>
        <v>-15.01</v>
      </c>
      <c r="M24" s="304"/>
      <c r="O24" s="80">
        <f t="shared" si="0"/>
        <v>0</v>
      </c>
      <c r="P24" s="115"/>
      <c r="Q24" s="305"/>
      <c r="R24" s="233" t="str">
        <f>IF(HLOOKUP(Stats!$B$5,Professions!$F$144:$DD$154,Professions!$DF$150,0)="","",HLOOKUP(Stats!$B$5,Professions!$F$144:$DD$154,Professions!$DF$150,0))</f>
        <v>Divination</v>
      </c>
      <c r="S24" s="233" t="str">
        <f>IF(Stats!$M$4="","",(IF(HLOOKUP(Stats!$B$6,Professions!$F$144:$DD$154,Professions!$DF$150,0)=0,"",HLOOKUP(Stats!$B$6,Professions!$F$144:$DD$154,Professions!$DF$150,0))))</f>
        <v>Wrestling</v>
      </c>
      <c r="T24" s="308" t="str">
        <f>HLOOKUP(Stats!$B$2,Taulukko13[[Dragonborn]:[Hakua varten]],Races!EH93,0)</f>
        <v>Painting</v>
      </c>
      <c r="U24" s="307"/>
      <c r="V24" s="135" t="str">
        <f>IF(VLOOKUP($V$2,Professions!$E$258:$DK$383,Y24,0)="","",(VLOOKUP($V$2,Professions!$E$258:$DK$383,Y24,0)))</f>
        <v>choice of up to two skills 2 (total)</v>
      </c>
      <c r="W24" s="135" t="str">
        <f>IF(VLOOKUP($W$2,Professions!$E$258:$DK$383,Y24,0)="","",(VLOOKUP($W$2,Professions!$E$258:$DK$383,Y24,0)))</f>
        <v>Technical/Trade – Professional CAT 0</v>
      </c>
      <c r="X24" s="135" t="str">
        <f>IF(VLOOKUP($X$2,Professions!$E$258:$DK$383,Y24,0)="","",(VLOOKUP($X$2,Professions!$E$258:$DK$383,Y24,0)))</f>
        <v>Technical/Trade – Vocational CAT 0</v>
      </c>
      <c r="Y24" s="80">
        <v>23</v>
      </c>
    </row>
    <row r="25" spans="1:25" ht="12.75" customHeight="1" x14ac:dyDescent="0.2">
      <c r="A25" s="148"/>
      <c r="B25" s="309" t="s">
        <v>414</v>
      </c>
      <c r="C25" s="111" t="str">
        <f>HLOOKUP(Stats!$B$5,Professions!$E$2:$DD$57,6,0)</f>
        <v>2/5</v>
      </c>
      <c r="D25" s="111" t="str">
        <f>IF(Stats!$B$6="","",HLOOKUP(Stats!$B$6,Professions!$E$2:$DD$57,6,0))</f>
        <v>2/5</v>
      </c>
      <c r="E25" s="111"/>
      <c r="F25" s="111">
        <f>VLOOKUP(E25,Professions!$DQ$1:$DX$203,3)</f>
        <v>-15</v>
      </c>
      <c r="G25" s="111" t="s">
        <v>389</v>
      </c>
      <c r="H25" s="111">
        <f>Stats!$I$14</f>
        <v>7</v>
      </c>
      <c r="I25" s="111"/>
      <c r="J25" s="111"/>
      <c r="K25" s="197">
        <f>F25+H25+I25+J25+$K$21</f>
        <v>-8.01</v>
      </c>
      <c r="M25" s="304"/>
      <c r="O25" s="80">
        <f t="shared" si="0"/>
        <v>0</v>
      </c>
      <c r="P25" s="115"/>
      <c r="Q25" s="305"/>
      <c r="R25" s="233" t="str">
        <f>IF(HLOOKUP(Stats!$B$5,Professions!$F$144:$DD$154,Professions!$DF$151,0)="","",HLOOKUP(Stats!$B$5,Professions!$F$144:$DD$154,Professions!$DF$151,0))</f>
        <v/>
      </c>
      <c r="S25" s="233" t="str">
        <f>IF(Stats!$M$4="","",(IF(HLOOKUP(Stats!$B$6,Professions!$F$144:$DD$154,Professions!$DF$151,0)=0,"",HLOOKUP(Stats!$B$6,Professions!$F$144:$DD$154,Professions!$DF$151,0))))</f>
        <v/>
      </c>
      <c r="T25" s="308" t="str">
        <f>HLOOKUP(Stats!$B$2,Taulukko13[[Dragonborn]:[Hakua varten]],Races!EH94,0)</f>
        <v>Picking Locks</v>
      </c>
      <c r="U25" s="307"/>
      <c r="V25" s="135" t="str">
        <f>IF(VLOOKUP($V$2,Professions!$E$258:$DK$383,Y25,0)="","",(VLOOKUP($V$2,Professions!$E$258:$DK$383,Y25,0)))</f>
        <v>Urban CAT 3</v>
      </c>
      <c r="W25" s="135" t="str">
        <f>IF(VLOOKUP($W$2,Professions!$E$258:$DK$383,Y25,0)="","",(VLOOKUP($W$2,Professions!$E$258:$DK$383,Y25,0)))</f>
        <v>Mechanition 1</v>
      </c>
      <c r="X25" s="135" t="str">
        <f>IF(VLOOKUP($X$2,Professions!$E$258:$DK$383,Y25,0)="","",(VLOOKUP($X$2,Professions!$E$258:$DK$383,Y25,0)))</f>
        <v>Begging 2</v>
      </c>
      <c r="Y25" s="80">
        <v>24</v>
      </c>
    </row>
    <row r="26" spans="1:25" ht="12.75" customHeight="1" x14ac:dyDescent="0.2">
      <c r="A26" s="244" t="s">
        <v>415</v>
      </c>
      <c r="B26" s="204"/>
      <c r="C26" s="226" t="str">
        <f>HLOOKUP(Stats!$B$5,Professions!$E$2:$DD$57,7,0)</f>
        <v>7</v>
      </c>
      <c r="D26" s="226" t="str">
        <f>IF(Stats!$B$6="","",HLOOKUP(Stats!$B$6,Professions!$E$2:$DD$57,7,0))</f>
        <v>2/5</v>
      </c>
      <c r="E26" s="302"/>
      <c r="F26" s="302">
        <f>VLOOKUP(E26,Professions!$DQ$1:$DX$203,2)</f>
        <v>-15</v>
      </c>
      <c r="G26" s="302" t="s">
        <v>416</v>
      </c>
      <c r="H26" s="302">
        <f>Stats!$I$18+Stats!$I$13</f>
        <v>11</v>
      </c>
      <c r="I26" s="303">
        <f>IF(Stats!$M$4="",HLOOKUP(Stats!$B$5,Professions!$F$59:$DD$114,Professions!$DF$8,0),((HLOOKUP(Stats!$B$5,Professions!$F$59:$DD$114,Professions!$DF$8,0)+HLOOKUP(Stats!$B$6,Professions!$F$59:$DD$114,Professions!$DF$8,0))/2-0.01))</f>
        <v>-0.01</v>
      </c>
      <c r="J26" s="302"/>
      <c r="K26" s="303">
        <f>F26+H26+I26+J26</f>
        <v>-4.01</v>
      </c>
      <c r="M26" s="304"/>
      <c r="O26" s="80">
        <f t="shared" si="0"/>
        <v>0</v>
      </c>
      <c r="P26" s="115"/>
      <c r="Q26" s="305">
        <f>HLOOKUP(Stats!$B$2,Races!$AK$4:$EH$50,Races!EH10,0)</f>
        <v>1</v>
      </c>
      <c r="R26" s="233" t="str">
        <f>IF(HLOOKUP(Stats!$B$5,Professions!$F$144:$DD$154,Professions!$DF$152,0)="","",HLOOKUP(Stats!$B$5,Professions!$F$144:$DD$154,Professions!$DF$152,0))</f>
        <v/>
      </c>
      <c r="S26" s="233" t="str">
        <f>IF(Stats!$M$4="","",(IF(HLOOKUP(Stats!$B$6,Professions!$F$144:$DD$154,Professions!$DF$152,0)=0,"",HLOOKUP(Stats!$B$6,Professions!$F$144:$DD$154,Professions!$DF$152,0))))</f>
        <v/>
      </c>
      <c r="T26" s="308" t="str">
        <f>HLOOKUP(Stats!$B$2,Taulukko13[[Dragonborn]:[Hakua varten]],Races!EH95,0)</f>
        <v>Play Instrument</v>
      </c>
      <c r="U26" s="307"/>
      <c r="V26" s="135" t="str">
        <f>IF(VLOOKUP($V$2,Professions!$E$258:$DK$383,Y26,0)="","",(VLOOKUP($V$2,Professions!$E$258:$DK$383,Y26,0)))</f>
        <v>choice of up to 2 skills 3 (total)</v>
      </c>
      <c r="W26" s="135" t="str">
        <f>IF(VLOOKUP($W$2,Professions!$E$258:$DK$383,Y26,0)="","",(VLOOKUP($W$2,Professions!$E$258:$DK$383,Y26,0)))</f>
        <v>Military Organisation 1</v>
      </c>
      <c r="X26" s="135" t="str">
        <f>IF(VLOOKUP($X$2,Professions!$E$258:$DK$383,Y26,0)="","",(VLOOKUP($X$2,Professions!$E$258:$DK$383,Y26,0)))</f>
        <v>Urban CAT 3</v>
      </c>
      <c r="Y26" s="80">
        <v>25</v>
      </c>
    </row>
    <row r="27" spans="1:25" ht="12.75" customHeight="1" x14ac:dyDescent="0.2">
      <c r="A27" s="179"/>
      <c r="B27" s="257" t="s">
        <v>417</v>
      </c>
      <c r="C27" s="111" t="str">
        <f>HLOOKUP(Stats!$B$5,Professions!$E$2:$DD$57,7,0)</f>
        <v>7</v>
      </c>
      <c r="D27" s="111" t="str">
        <f>IF(Stats!$B$6="","",HLOOKUP(Stats!$B$6,Professions!$E$2:$DD$57,7,0))</f>
        <v>2/5</v>
      </c>
      <c r="E27" s="111"/>
      <c r="F27" s="111">
        <f>VLOOKUP(E27,Professions!$DQ$1:$DX$203,3)</f>
        <v>-15</v>
      </c>
      <c r="G27" s="111" t="s">
        <v>389</v>
      </c>
      <c r="H27" s="111">
        <f>Stats!$I$14</f>
        <v>7</v>
      </c>
      <c r="I27" s="111"/>
      <c r="J27" s="111"/>
      <c r="K27" s="197">
        <f>F27+H27+I27+J27+$K$26</f>
        <v>-12.01</v>
      </c>
      <c r="M27" s="304"/>
      <c r="O27" s="80">
        <f t="shared" si="0"/>
        <v>0</v>
      </c>
      <c r="P27" s="115"/>
      <c r="Q27" s="305"/>
      <c r="R27" s="233" t="str">
        <f>IF(HLOOKUP(Stats!$B$5,Professions!$F$144:$DD$154,Professions!$DF$153,0)="","",HLOOKUP(Stats!$B$5,Professions!$F$144:$DD$154,Professions!$DF$153,0))</f>
        <v/>
      </c>
      <c r="S27" s="233" t="str">
        <f>IF(Stats!$M$4="","",(IF(HLOOKUP(Stats!$B$6,Professions!$F$144:$DD$154,Professions!$DF$153,0)=0,"",HLOOKUP(Stats!$B$6,Professions!$F$144:$DD$154,Professions!$DF$153,0))))</f>
        <v/>
      </c>
      <c r="T27" s="308" t="str">
        <f>HLOOKUP(Stats!$B$2,Taulukko13[[Dragonborn]:[Hakua varten]],Races!EH96,0)</f>
        <v>Public Speaking</v>
      </c>
      <c r="U27" s="307"/>
      <c r="V27" s="135" t="str">
        <f>IF(VLOOKUP($V$2,Professions!$E$258:$DK$383,Y27,0)="","",(VLOOKUP($V$2,Professions!$E$258:$DK$383,Y27,0)))</f>
        <v>Athletic – Gymnastic CAT 1</v>
      </c>
      <c r="W27" s="135" t="str">
        <f>IF(VLOOKUP($W$2,Professions!$E$258:$DK$383,Y27,0)="","",(VLOOKUP($W$2,Professions!$E$258:$DK$383,Y27,0)))</f>
        <v>Mining 1</v>
      </c>
      <c r="X27" s="135" t="str">
        <f>IF(VLOOKUP($X$2,Professions!$E$258:$DK$383,Y27,0)="","",(VLOOKUP($X$2,Professions!$E$258:$DK$383,Y27,0)))</f>
        <v>Contacting 1</v>
      </c>
      <c r="Y27" s="80">
        <v>26</v>
      </c>
    </row>
    <row r="28" spans="1:25" ht="12.75" customHeight="1" x14ac:dyDescent="0.2">
      <c r="A28" s="111"/>
      <c r="B28" s="246" t="s">
        <v>418</v>
      </c>
      <c r="C28" s="111" t="str">
        <f>HLOOKUP(Stats!$B$5,Professions!$E$2:$DD$57,7,0)</f>
        <v>7</v>
      </c>
      <c r="D28" s="111" t="str">
        <f>IF(Stats!$B$6="","",HLOOKUP(Stats!$B$6,Professions!$E$2:$DD$57,7,0))</f>
        <v>2/5</v>
      </c>
      <c r="E28" s="111"/>
      <c r="F28" s="111">
        <f>VLOOKUP(E28,Professions!$DQ$1:$DX$203,3)</f>
        <v>-15</v>
      </c>
      <c r="G28" s="111" t="s">
        <v>389</v>
      </c>
      <c r="H28" s="111">
        <f>Stats!$I$14</f>
        <v>7</v>
      </c>
      <c r="I28" s="111"/>
      <c r="J28" s="111"/>
      <c r="K28" s="197">
        <f>F28+H28+I28+J28+$K$26</f>
        <v>-12.01</v>
      </c>
      <c r="M28" s="304"/>
      <c r="O28" s="80">
        <f t="shared" si="0"/>
        <v>0</v>
      </c>
      <c r="P28" s="115"/>
      <c r="Q28" s="305"/>
      <c r="R28" s="233" t="str">
        <f>IF(HLOOKUP(Stats!$B$5,Professions!$F$144:$DD$154,Professions!$DF$154,0)="","",HLOOKUP(Stats!$B$5,Professions!$F$144:$DD$154,Professions!$DF$154,0))</f>
        <v/>
      </c>
      <c r="S28" s="233" t="str">
        <f>IF(Stats!$M$4="","",(IF(HLOOKUP(Stats!$B$6,Professions!$F$144:$DD$154,Professions!$DF$154,0)=0,"",HLOOKUP(Stats!$B$6,Professions!$F$144:$DD$154,Professions!$DF$154,0))))</f>
        <v/>
      </c>
      <c r="T28" s="308" t="str">
        <f>HLOOKUP(Stats!$B$2,Taulukko13[[Dragonborn]:[Hakua varten]],Races!EH97,0)</f>
        <v>Riding</v>
      </c>
      <c r="U28" s="307"/>
      <c r="V28" s="135" t="str">
        <f>IF(VLOOKUP($V$2,Professions!$E$258:$DK$383,Y28,0)="","",(VLOOKUP($V$2,Professions!$E$258:$DK$383,Y28,0)))</f>
        <v>choice of one skill 1</v>
      </c>
      <c r="W28" s="135" t="str">
        <f>IF(VLOOKUP($W$2,Professions!$E$258:$DK$383,Y28,0)="","",(VLOOKUP($W$2,Professions!$E$258:$DK$383,Y28,0)))</f>
        <v>Technical/Trade – Vocational CAT 0</v>
      </c>
      <c r="X28" s="135" t="str">
        <f>IF(VLOOKUP($X$2,Professions!$E$258:$DK$383,Y28,0)="","",(VLOOKUP($X$2,Professions!$E$258:$DK$383,Y28,0)))</f>
        <v>Mingling 1</v>
      </c>
      <c r="Y28" s="80">
        <v>27</v>
      </c>
    </row>
    <row r="29" spans="1:25" ht="12.75" customHeight="1" x14ac:dyDescent="0.2">
      <c r="A29" s="111"/>
      <c r="B29" s="246" t="s">
        <v>419</v>
      </c>
      <c r="C29" s="111" t="str">
        <f>HLOOKUP(Stats!$B$5,Professions!$E$2:$DD$57,7,0)</f>
        <v>7</v>
      </c>
      <c r="D29" s="111" t="str">
        <f>IF(Stats!$B$6="","",HLOOKUP(Stats!$B$6,Professions!$E$2:$DD$57,7,0))</f>
        <v>2/5</v>
      </c>
      <c r="E29" s="111"/>
      <c r="F29" s="111">
        <f>VLOOKUP(E29,Professions!$DQ$1:$DX$203,3)</f>
        <v>-15</v>
      </c>
      <c r="G29" s="111" t="s">
        <v>384</v>
      </c>
      <c r="H29" s="111">
        <f>Stats!$I$18</f>
        <v>9</v>
      </c>
      <c r="I29" s="111"/>
      <c r="J29" s="111"/>
      <c r="K29" s="197">
        <f>F29+H29+I29+J29+$K$26</f>
        <v>-10.01</v>
      </c>
      <c r="M29" s="304"/>
      <c r="O29" s="80">
        <f t="shared" si="0"/>
        <v>0</v>
      </c>
      <c r="P29" s="115"/>
      <c r="Q29" s="305"/>
      <c r="R29" s="233"/>
      <c r="S29" s="233"/>
      <c r="T29" s="308" t="str">
        <f>HLOOKUP(Stats!$B$2,Taulukko13[[Dragonborn]:[Hakua varten]],Races!EH98,0)</f>
        <v>Sculpting</v>
      </c>
      <c r="U29" s="307"/>
      <c r="V29" s="135" t="str">
        <f>IF(VLOOKUP($V$2,Professions!$E$258:$DK$383,Y29,0)="","",(VLOOKUP($V$2,Professions!$E$258:$DK$383,Y29,0)))</f>
        <v>Awareness – Perceptions CAT 0</v>
      </c>
      <c r="W29" s="135" t="str">
        <f>IF(VLOOKUP($W$2,Professions!$E$258:$DK$383,Y29,0)="","",(VLOOKUP($W$2,Professions!$E$258:$DK$383,Y29,0)))</f>
        <v>Siege Engineering 3</v>
      </c>
      <c r="X29" s="135" t="str">
        <f>IF(VLOOKUP($X$2,Professions!$E$258:$DK$383,Y29,0)="","",(VLOOKUP($X$2,Professions!$E$258:$DK$383,Y29,0)))</f>
        <v>Scrounging 1</v>
      </c>
      <c r="Y29" s="80">
        <v>28</v>
      </c>
    </row>
    <row r="30" spans="1:25" ht="12.75" customHeight="1" x14ac:dyDescent="0.2">
      <c r="A30" s="111"/>
      <c r="B30" s="246" t="s">
        <v>420</v>
      </c>
      <c r="C30" s="111" t="str">
        <f>HLOOKUP(Stats!$B$5,Professions!$E$2:$DD$57,7,0)</f>
        <v>7</v>
      </c>
      <c r="D30" s="111" t="str">
        <f>IF(Stats!$B$6="","",HLOOKUP(Stats!$B$6,Professions!$E$2:$DD$57,7,0))</f>
        <v>2/5</v>
      </c>
      <c r="E30" s="111"/>
      <c r="F30" s="111">
        <f>VLOOKUP(E30,Professions!$DQ$1:$DX$203,3)</f>
        <v>-15</v>
      </c>
      <c r="G30" s="111" t="s">
        <v>384</v>
      </c>
      <c r="H30" s="111">
        <f>Stats!$I$18</f>
        <v>9</v>
      </c>
      <c r="I30" s="111"/>
      <c r="J30" s="111"/>
      <c r="K30" s="197">
        <f>F30+H30+I30+J30+$K$26</f>
        <v>-10.01</v>
      </c>
      <c r="M30" s="304"/>
      <c r="O30" s="80">
        <f t="shared" si="0"/>
        <v>0</v>
      </c>
      <c r="P30" s="115"/>
      <c r="Q30" s="305"/>
      <c r="R30" s="233"/>
      <c r="S30" s="233"/>
      <c r="T30" s="308" t="str">
        <f>HLOOKUP(Stats!$B$2,Taulukko13[[Dragonborn]:[Hakua varten]],Races!EH99,0)</f>
        <v>Seduction</v>
      </c>
      <c r="U30" s="307"/>
      <c r="V30" s="135" t="str">
        <f>IF(VLOOKUP($V$2,Professions!$E$258:$DK$383,Y30,0)="","",(VLOOKUP($V$2,Professions!$E$258:$DK$383,Y30,0)))</f>
        <v>Alertness 2</v>
      </c>
      <c r="W30" s="135" t="str">
        <f>IF(VLOOKUP($W$2,Professions!$E$258:$DK$383,Y30,0)="","",(VLOOKUP($W$2,Professions!$E$258:$DK$383,Y30,0)))</f>
        <v>Weapon – Missile Artillery CAT 2</v>
      </c>
      <c r="X30" s="135" t="str">
        <f>IF(VLOOKUP($X$2,Professions!$E$258:$DK$383,Y30,0)="","",(VLOOKUP($X$2,Professions!$E$258:$DK$383,Y30,0)))</f>
        <v>Lore – General CAT 2</v>
      </c>
      <c r="Y30" s="80">
        <v>29</v>
      </c>
    </row>
    <row r="31" spans="1:25" ht="12.75" customHeight="1" x14ac:dyDescent="0.2">
      <c r="A31" s="148"/>
      <c r="B31" s="309" t="s">
        <v>421</v>
      </c>
      <c r="C31" s="111" t="str">
        <f>HLOOKUP(Stats!$B$5,Professions!$E$2:$DD$57,7,0)</f>
        <v>7</v>
      </c>
      <c r="D31" s="111" t="str">
        <f>IF(Stats!$B$6="","",HLOOKUP(Stats!$B$6,Professions!$E$2:$DD$57,7,0))</f>
        <v>2/5</v>
      </c>
      <c r="E31" s="111"/>
      <c r="F31" s="111">
        <f>VLOOKUP(E31,Professions!$DQ$1:$DX$203,3)</f>
        <v>-15</v>
      </c>
      <c r="G31" s="111" t="s">
        <v>384</v>
      </c>
      <c r="H31" s="111">
        <f>Stats!$I$18</f>
        <v>9</v>
      </c>
      <c r="I31" s="111"/>
      <c r="J31" s="111"/>
      <c r="K31" s="197">
        <f>F31+H31+I31+J31+$K$26</f>
        <v>-10.01</v>
      </c>
      <c r="M31" s="304"/>
      <c r="O31" s="80">
        <f t="shared" si="0"/>
        <v>0</v>
      </c>
      <c r="P31" s="115"/>
      <c r="Q31" s="305"/>
      <c r="R31" s="310"/>
      <c r="S31" s="310"/>
      <c r="T31" s="308" t="str">
        <f>HLOOKUP(Stats!$B$2,Taulukko13[[Dragonborn]:[Hakua varten]],Races!EH100,0)</f>
        <v>Sewing</v>
      </c>
      <c r="U31" s="307"/>
      <c r="V31" s="135" t="str">
        <f>IF(VLOOKUP($V$2,Professions!$E$258:$DK$383,Y31,0)="","",(VLOOKUP($V$2,Professions!$E$258:$DK$383,Y31,0)))</f>
        <v>Awareness – Searching CAT 1</v>
      </c>
      <c r="W31" s="135" t="str">
        <f>IF(VLOOKUP($W$2,Professions!$E$258:$DK$383,Y31,0)="","",(VLOOKUP($W$2,Professions!$E$258:$DK$383,Y31,0)))</f>
        <v>choice of up to two skills 2 (total)</v>
      </c>
      <c r="X31" s="135" t="str">
        <f>IF(VLOOKUP($X$2,Professions!$E$258:$DK$383,Y31,0)="","",(VLOOKUP($X$2,Professions!$E$258:$DK$383,Y31,0)))</f>
        <v>Culture Lore (own) 1</v>
      </c>
      <c r="Y31" s="80">
        <v>30</v>
      </c>
    </row>
    <row r="32" spans="1:25" ht="12.75" customHeight="1" x14ac:dyDescent="0.2">
      <c r="A32" s="244" t="s">
        <v>422</v>
      </c>
      <c r="B32" s="204"/>
      <c r="C32" s="226" t="str">
        <f>HLOOKUP(Stats!$B$5,Professions!$E$2:$DD$57,8,0)</f>
        <v>3</v>
      </c>
      <c r="D32" s="226" t="str">
        <f>IF(Stats!$B$6="","",HLOOKUP(Stats!$B$6,Professions!$E$2:$DD$57,8,0))</f>
        <v>2/6</v>
      </c>
      <c r="E32" s="302"/>
      <c r="F32" s="302">
        <f>VLOOKUP(E32,Professions!$DQ$1:$DX$203,2)</f>
        <v>-15</v>
      </c>
      <c r="G32" s="302" t="s">
        <v>423</v>
      </c>
      <c r="H32" s="302">
        <f>Stats!$I$13+Stats!$I$14</f>
        <v>9</v>
      </c>
      <c r="I32" s="303">
        <f>IF(Stats!$M$4="",HLOOKUP(Stats!$B$5,Professions!$F$59:$DD$114,Professions!$DF$9,0),((HLOOKUP(Stats!$B$5,Professions!$F$59:$DD$114,Professions!$DF$9,0)+HLOOKUP(Stats!$B$6,Professions!$F$59:$DD$114,Professions!$DF$9,0))/2-0.01))</f>
        <v>-0.01</v>
      </c>
      <c r="J32" s="302"/>
      <c r="K32" s="303">
        <f>F32+H32+I32+J32</f>
        <v>-6.01</v>
      </c>
      <c r="M32" s="304"/>
      <c r="O32" s="80">
        <f t="shared" si="0"/>
        <v>0</v>
      </c>
      <c r="P32" s="115"/>
      <c r="Q32" s="305">
        <f>HLOOKUP(Stats!$B$2,Races!$AK$4:$EH$50,Races!EH11,0)</f>
        <v>1</v>
      </c>
      <c r="R32" s="311" t="s">
        <v>424</v>
      </c>
      <c r="S32" s="311" t="s">
        <v>424</v>
      </c>
      <c r="T32" s="308" t="str">
        <f>HLOOKUP(Stats!$B$2,Taulukko13[[Dragonborn]:[Hakua varten]],Races!EH101,0)</f>
        <v>Singing</v>
      </c>
      <c r="U32" s="307"/>
      <c r="V32" s="135" t="str">
        <f>IF(VLOOKUP($V$2,Professions!$E$258:$DK$383,Y32,0)="","",(VLOOKUP($V$2,Professions!$E$258:$DK$383,Y32,0)))</f>
        <v>Observation 1</v>
      </c>
      <c r="W32" s="135" t="str">
        <f>IF(VLOOKUP($W$2,Professions!$E$258:$DK$383,Y32,0)="","",(VLOOKUP($W$2,Professions!$E$258:$DK$383,Y32,0)))</f>
        <v/>
      </c>
      <c r="X32" s="135" t="str">
        <f>IF(VLOOKUP($X$2,Professions!$E$258:$DK$383,Y32,0)="","",(VLOOKUP($X$2,Professions!$E$258:$DK$383,Y32,0)))</f>
        <v>Region Lore (local town) 1</v>
      </c>
      <c r="Y32" s="80">
        <v>31</v>
      </c>
    </row>
    <row r="33" spans="1:25" ht="12.75" customHeight="1" x14ac:dyDescent="0.2">
      <c r="A33" s="179"/>
      <c r="B33" s="257" t="s">
        <v>425</v>
      </c>
      <c r="C33" s="111" t="str">
        <f>HLOOKUP(Stats!$B$5,Professions!$E$2:$DD$57,8,0)</f>
        <v>3</v>
      </c>
      <c r="D33" s="111" t="str">
        <f>IF(Stats!$B$6="","",HLOOKUP(Stats!$B$6,Professions!$E$2:$DD$57,8,0))</f>
        <v>2/6</v>
      </c>
      <c r="E33" s="111"/>
      <c r="F33" s="111">
        <f>VLOOKUP(E33,Professions!$DQ$1:$DX$203,3)</f>
        <v>-15</v>
      </c>
      <c r="G33" s="111" t="s">
        <v>426</v>
      </c>
      <c r="H33" s="111">
        <f>Stats!$I$13</f>
        <v>2</v>
      </c>
      <c r="I33" s="111"/>
      <c r="J33" s="111"/>
      <c r="K33" s="197">
        <f t="shared" ref="K33:K38" si="2">F33+H33+I33+J33+$K$32</f>
        <v>-19.009999999999998</v>
      </c>
      <c r="M33" s="304"/>
      <c r="O33" s="80">
        <f t="shared" si="0"/>
        <v>0</v>
      </c>
      <c r="P33" s="115"/>
      <c r="Q33" s="305"/>
      <c r="R33" s="312" t="s">
        <v>427</v>
      </c>
      <c r="S33" s="312" t="s">
        <v>427</v>
      </c>
      <c r="T33" s="308" t="str">
        <f>HLOOKUP(Stats!$B$2,Taulukko13[[Dragonborn]:[Hakua varten]],Races!EH102,0)</f>
        <v>Stalking</v>
      </c>
      <c r="U33" s="307"/>
      <c r="V33" s="135" t="str">
        <f>IF(VLOOKUP($V$2,Professions!$E$258:$DK$383,Y33,0)="","",(VLOOKUP($V$2,Professions!$E$258:$DK$383,Y33,0)))</f>
        <v/>
      </c>
      <c r="W33" s="135" t="str">
        <f>IF(VLOOKUP($W$2,Professions!$E$258:$DK$383,Y33,0)="","",(VLOOKUP($W$2,Professions!$E$258:$DK$383,Y33,0)))</f>
        <v/>
      </c>
      <c r="X33" s="135" t="str">
        <f>IF(VLOOKUP($X$2,Professions!$E$258:$DK$383,Y33,0)="","",(VLOOKUP($X$2,Professions!$E$258:$DK$383,Y33,0)))</f>
        <v/>
      </c>
      <c r="Y33" s="80">
        <v>32</v>
      </c>
    </row>
    <row r="34" spans="1:25" ht="12.75" customHeight="1" x14ac:dyDescent="0.2">
      <c r="A34" s="111"/>
      <c r="B34" s="246" t="s">
        <v>428</v>
      </c>
      <c r="C34" s="111" t="str">
        <f>HLOOKUP(Stats!$B$5,Professions!$E$2:$DD$57,8,0)</f>
        <v>3</v>
      </c>
      <c r="D34" s="111" t="str">
        <f>IF(Stats!$B$6="","",HLOOKUP(Stats!$B$6,Professions!$E$2:$DD$57,8,0))</f>
        <v>2/6</v>
      </c>
      <c r="E34" s="111"/>
      <c r="F34" s="111">
        <f>VLOOKUP(E34,Professions!$DQ$1:$DX$203,3)</f>
        <v>-15</v>
      </c>
      <c r="G34" s="111" t="s">
        <v>426</v>
      </c>
      <c r="H34" s="111">
        <f>Stats!$I$13</f>
        <v>2</v>
      </c>
      <c r="I34" s="111"/>
      <c r="J34" s="111"/>
      <c r="K34" s="197">
        <f t="shared" si="2"/>
        <v>-19.009999999999998</v>
      </c>
      <c r="M34" s="304"/>
      <c r="O34" s="80">
        <f t="shared" si="0"/>
        <v>0</v>
      </c>
      <c r="P34" s="115"/>
      <c r="Q34" s="305"/>
      <c r="R34" s="313" t="str">
        <f>IF(HLOOKUP(Stats!$B$2,Taulukko12[[Dragonborn]:[Hakua varten]],Races!EH65,0)="","",HLOOKUP(Stats!$B$2,Taulukko12[[Dragonborn]:[Hakua varten]],Races!EH65,0))</f>
        <v>None</v>
      </c>
      <c r="S34" s="313" t="str">
        <f>IF(HLOOKUP(Stats!$B$2,Taulukko12[[Dragonborn]:[Hakua varten]],Races!EH65,0)="","",HLOOKUP(Stats!$B$2,Taulukko12[[Dragonborn]:[Hakua varten]],Races!EH65,0))</f>
        <v>None</v>
      </c>
      <c r="T34" s="308" t="str">
        <f>HLOOKUP(Stats!$B$2,Taulukko13[[Dragonborn]:[Hakua varten]],Races!EH103,0)</f>
        <v>Stilt-walking</v>
      </c>
      <c r="U34" s="307"/>
      <c r="V34" s="135" t="str">
        <f>IF(VLOOKUP($V$2,Professions!$E$258:$DK$383,Y34,0)="","",(VLOOKUP($V$2,Professions!$E$258:$DK$383,Y34,0)))</f>
        <v/>
      </c>
      <c r="W34" s="135" t="str">
        <f>IF(VLOOKUP($W$2,Professions!$E$258:$DK$383,Y34,0)="","",(VLOOKUP($W$2,Professions!$E$258:$DK$383,Y34,0)))</f>
        <v/>
      </c>
      <c r="X34" s="135" t="str">
        <f>IF(VLOOKUP($X$2,Professions!$E$258:$DK$383,Y34,0)="","",(VLOOKUP($X$2,Professions!$E$258:$DK$383,Y34,0)))</f>
        <v/>
      </c>
      <c r="Y34" s="80">
        <v>33</v>
      </c>
    </row>
    <row r="35" spans="1:25" ht="12.75" customHeight="1" x14ac:dyDescent="0.2">
      <c r="A35" s="111"/>
      <c r="B35" s="246" t="s">
        <v>429</v>
      </c>
      <c r="C35" s="111" t="str">
        <f>HLOOKUP(Stats!$B$5,Professions!$E$2:$DD$57,8,0)</f>
        <v>3</v>
      </c>
      <c r="D35" s="111" t="str">
        <f>IF(Stats!$B$6="","",HLOOKUP(Stats!$B$6,Professions!$E$2:$DD$57,8,0))</f>
        <v>2/6</v>
      </c>
      <c r="E35" s="111"/>
      <c r="F35" s="111">
        <f>VLOOKUP(E35,Professions!$DQ$1:$DX$203,3)</f>
        <v>-15</v>
      </c>
      <c r="G35" s="111" t="s">
        <v>384</v>
      </c>
      <c r="H35" s="111">
        <f>Stats!$I$18</f>
        <v>9</v>
      </c>
      <c r="I35" s="111"/>
      <c r="J35" s="111"/>
      <c r="K35" s="197">
        <f t="shared" si="2"/>
        <v>-12.01</v>
      </c>
      <c r="M35" s="304"/>
      <c r="O35" s="80">
        <f t="shared" ref="O35:O66" si="3">E35+M35</f>
        <v>0</v>
      </c>
      <c r="P35" s="115"/>
      <c r="Q35" s="305"/>
      <c r="R35" s="313" t="str">
        <f>IF(HLOOKUP(Stats!$B$2,Taulukko12[[Dragonborn]:[Hakua varten]],Races!EH66,0)="","",HLOOKUP(Stats!$B$2,Taulukko12[[Dragonborn]:[Hakua varten]],Races!EH66,0))</f>
        <v/>
      </c>
      <c r="S35" s="313" t="str">
        <f>IF(HLOOKUP(Stats!$B$2,Taulukko12[[Dragonborn]:[Hakua varten]],Races!EH66,0)="","",HLOOKUP(Stats!$B$2,Taulukko12[[Dragonborn]:[Hakua varten]],Races!EH66,0))</f>
        <v/>
      </c>
      <c r="T35" s="308" t="str">
        <f>HLOOKUP(Stats!$B$2,Taulukko13[[Dragonborn]:[Hakua varten]],Races!EH104,0)</f>
        <v>Stone-crafting</v>
      </c>
      <c r="U35" s="307"/>
      <c r="V35" s="135" t="str">
        <f>IF(VLOOKUP($V$2,Professions!$E$258:$DK$383,Y35,0)="","",(VLOOKUP($V$2,Professions!$E$258:$DK$383,Y35,0)))</f>
        <v/>
      </c>
      <c r="W35" s="135" t="str">
        <f>IF(VLOOKUP($W$2,Professions!$E$258:$DK$383,Y35,0)="","",(VLOOKUP($W$2,Professions!$E$258:$DK$383,Y35,0)))</f>
        <v/>
      </c>
      <c r="X35" s="135" t="str">
        <f>IF(VLOOKUP($X$2,Professions!$E$258:$DK$383,Y35,0)="","",(VLOOKUP($X$2,Professions!$E$258:$DK$383,Y35,0)))</f>
        <v/>
      </c>
      <c r="Y35" s="80">
        <v>34</v>
      </c>
    </row>
    <row r="36" spans="1:25" ht="12.75" customHeight="1" x14ac:dyDescent="0.2">
      <c r="A36" s="111"/>
      <c r="B36" s="246" t="s">
        <v>430</v>
      </c>
      <c r="C36" s="111" t="str">
        <f>HLOOKUP(Stats!$B$5,Professions!$E$2:$DD$57,8,0)</f>
        <v>3</v>
      </c>
      <c r="D36" s="111" t="str">
        <f>IF(Stats!$B$6="","",HLOOKUP(Stats!$B$6,Professions!$E$2:$DD$57,8,0))</f>
        <v>2/6</v>
      </c>
      <c r="E36" s="111"/>
      <c r="F36" s="111">
        <f>VLOOKUP(E36,Professions!$DQ$1:$DX$203,3)</f>
        <v>-15</v>
      </c>
      <c r="G36" s="111" t="s">
        <v>384</v>
      </c>
      <c r="H36" s="111">
        <f>Stats!$I$18</f>
        <v>9</v>
      </c>
      <c r="I36" s="111"/>
      <c r="J36" s="111"/>
      <c r="K36" s="197">
        <f t="shared" si="2"/>
        <v>-12.01</v>
      </c>
      <c r="M36" s="304"/>
      <c r="O36" s="80">
        <f t="shared" si="3"/>
        <v>0</v>
      </c>
      <c r="P36" s="115"/>
      <c r="Q36" s="305"/>
      <c r="R36" s="313" t="str">
        <f>IF(HLOOKUP(Stats!$B$2,Taulukko12[[Dragonborn]:[Hakua varten]],Races!EH67,0)="","",HLOOKUP(Stats!$B$2,Taulukko12[[Dragonborn]:[Hakua varten]],Races!EH67,0))</f>
        <v/>
      </c>
      <c r="S36" s="313" t="str">
        <f>IF(HLOOKUP(Stats!$B$2,Taulukko12[[Dragonborn]:[Hakua varten]],Races!EH67,0)="","",HLOOKUP(Stats!$B$2,Taulukko12[[Dragonborn]:[Hakua varten]],Races!EH67,0))</f>
        <v/>
      </c>
      <c r="T36" s="308" t="str">
        <f>HLOOKUP(Stats!$B$2,Taulukko13[[Dragonborn]:[Hakua varten]],Races!EH105,0)</f>
        <v>Tightrope-walking</v>
      </c>
      <c r="U36" s="307"/>
      <c r="V36" s="135" t="str">
        <f>IF(VLOOKUP($V$2,Professions!$E$258:$DK$383,Y36,0)="","",(VLOOKUP($V$2,Professions!$E$258:$DK$383,Y36,0)))</f>
        <v/>
      </c>
      <c r="W36" s="135" t="str">
        <f>IF(VLOOKUP($W$2,Professions!$E$258:$DK$383,Y36,0)="","",(VLOOKUP($W$2,Professions!$E$258:$DK$383,Y36,0)))</f>
        <v/>
      </c>
      <c r="X36" s="135" t="str">
        <f>IF(VLOOKUP($X$2,Professions!$E$258:$DK$383,Y36,0)="","",(VLOOKUP($X$2,Professions!$E$258:$DK$383,Y36,0)))</f>
        <v/>
      </c>
      <c r="Y36" s="80">
        <v>35</v>
      </c>
    </row>
    <row r="37" spans="1:25" ht="12.75" customHeight="1" x14ac:dyDescent="0.2">
      <c r="A37" s="111"/>
      <c r="B37" s="246" t="s">
        <v>431</v>
      </c>
      <c r="C37" s="111" t="str">
        <f>HLOOKUP(Stats!$B$5,Professions!$E$2:$DD$57,8,0)</f>
        <v>3</v>
      </c>
      <c r="D37" s="111" t="str">
        <f>IF(Stats!$B$6="","",HLOOKUP(Stats!$B$6,Professions!$E$2:$DD$57,8,0))</f>
        <v>2/6</v>
      </c>
      <c r="E37" s="111"/>
      <c r="F37" s="111">
        <f>VLOOKUP(E37,Professions!$DQ$1:$DX$203,3)</f>
        <v>-15</v>
      </c>
      <c r="G37" s="111" t="s">
        <v>432</v>
      </c>
      <c r="H37" s="111">
        <f>Stats!$I$19</f>
        <v>8</v>
      </c>
      <c r="I37" s="111"/>
      <c r="J37" s="111"/>
      <c r="K37" s="197">
        <f t="shared" si="2"/>
        <v>-13.01</v>
      </c>
      <c r="M37" s="304"/>
      <c r="O37" s="80">
        <f t="shared" si="3"/>
        <v>0</v>
      </c>
      <c r="P37" s="115"/>
      <c r="Q37" s="305"/>
      <c r="R37" s="313" t="str">
        <f>IF(HLOOKUP(Stats!$B$2,Taulukko12[[Dragonborn]:[Hakua varten]],Races!EH68,0)="","",HLOOKUP(Stats!$B$2,Taulukko12[[Dragonborn]:[Hakua varten]],Races!EH68,0))</f>
        <v/>
      </c>
      <c r="S37" s="313" t="str">
        <f>IF(HLOOKUP(Stats!$B$2,Taulukko12[[Dragonborn]:[Hakua varten]],Races!EH68,0)="","",HLOOKUP(Stats!$B$2,Taulukko12[[Dragonborn]:[Hakua varten]],Races!EH68,0))</f>
        <v/>
      </c>
      <c r="T37" s="308" t="str">
        <f>HLOOKUP(Stats!$B$2,Taulukko13[[Dragonborn]:[Hakua varten]],Races!EH106,0)</f>
        <v>Trading</v>
      </c>
      <c r="U37" s="307"/>
      <c r="V37" s="135" t="str">
        <f>IF(VLOOKUP($V$2,Professions!$E$258:$DK$383,Y37,0)="","",(VLOOKUP($V$2,Professions!$E$258:$DK$383,Y37,0)))</f>
        <v/>
      </c>
      <c r="W37" s="135" t="str">
        <f>IF(VLOOKUP($W$2,Professions!$E$258:$DK$383,Y37,0)="","",(VLOOKUP($W$2,Professions!$E$258:$DK$383,Y37,0)))</f>
        <v/>
      </c>
      <c r="X37" s="135" t="str">
        <f>IF(VLOOKUP($X$2,Professions!$E$258:$DK$383,Y37,0)="","",(VLOOKUP($X$2,Professions!$E$258:$DK$383,Y37,0)))</f>
        <v/>
      </c>
      <c r="Y37" s="80">
        <v>36</v>
      </c>
    </row>
    <row r="38" spans="1:25" ht="12.75" customHeight="1" x14ac:dyDescent="0.2">
      <c r="A38" s="148"/>
      <c r="B38" s="309" t="s">
        <v>433</v>
      </c>
      <c r="C38" s="111" t="str">
        <f>HLOOKUP(Stats!$B$5,Professions!$E$2:$DD$57,8,0)</f>
        <v>3</v>
      </c>
      <c r="D38" s="111" t="str">
        <f>IF(Stats!$B$6="","",HLOOKUP(Stats!$B$6,Professions!$E$2:$DD$57,8,0))</f>
        <v>2/6</v>
      </c>
      <c r="E38" s="111"/>
      <c r="F38" s="111">
        <f>VLOOKUP(E38,Professions!$DQ$1:$DX$203,3)</f>
        <v>-15</v>
      </c>
      <c r="G38" s="111" t="s">
        <v>220</v>
      </c>
      <c r="H38" s="111">
        <f>Stats!$I$15</f>
        <v>7</v>
      </c>
      <c r="I38" s="111"/>
      <c r="J38" s="111"/>
      <c r="K38" s="197">
        <f t="shared" si="2"/>
        <v>-14.01</v>
      </c>
      <c r="M38" s="304"/>
      <c r="O38" s="80">
        <f t="shared" si="3"/>
        <v>0</v>
      </c>
      <c r="P38" s="115"/>
      <c r="Q38" s="305">
        <f>HLOOKUP(Stats!$B$2,Races!$AK$4:$EH$50,Races!EH12,0)</f>
        <v>1</v>
      </c>
      <c r="R38" s="314" t="s">
        <v>434</v>
      </c>
      <c r="S38" s="314" t="s">
        <v>434</v>
      </c>
      <c r="T38" s="308" t="str">
        <f>HLOOKUP(Stats!$B$2,Taulukko13[[Dragonborn]:[Hakua varten]],Races!EH107,0)</f>
        <v>Trap Building</v>
      </c>
      <c r="U38" s="307"/>
      <c r="V38" s="135" t="str">
        <f>IF(VLOOKUP($V$2,Professions!$E$258:$DK$383,Y38,0)="","",(VLOOKUP($V$2,Professions!$E$258:$DK$383,Y38,0)))</f>
        <v/>
      </c>
      <c r="W38" s="135" t="str">
        <f>IF(VLOOKUP($W$2,Professions!$E$258:$DK$383,Y38,0)="","",(VLOOKUP($W$2,Professions!$E$258:$DK$383,Y38,0)))</f>
        <v/>
      </c>
      <c r="X38" s="135" t="str">
        <f>IF(VLOOKUP($X$2,Professions!$E$258:$DK$383,Y38,0)="","",(VLOOKUP($X$2,Professions!$E$258:$DK$383,Y38,0)))</f>
        <v/>
      </c>
      <c r="Y38" s="80">
        <v>37</v>
      </c>
    </row>
    <row r="39" spans="1:25" ht="12.75" customHeight="1" x14ac:dyDescent="0.2">
      <c r="A39" s="244" t="s">
        <v>435</v>
      </c>
      <c r="B39" s="204"/>
      <c r="C39" s="226" t="str">
        <f>HLOOKUP(Stats!$B$5,Professions!$E$2:$DD$57,9,0)</f>
        <v>3</v>
      </c>
      <c r="D39" s="226" t="str">
        <f>IF(Stats!$B$6="","",HLOOKUP(Stats!$B$6,Professions!$E$2:$DD$57,9,0))</f>
        <v>2/5</v>
      </c>
      <c r="E39" s="302"/>
      <c r="F39" s="302">
        <f>VLOOKUP(E39,Professions!$DQ$1:$DX$203,2)</f>
        <v>-15</v>
      </c>
      <c r="G39" s="302" t="s">
        <v>436</v>
      </c>
      <c r="H39" s="302">
        <f>Stats!I14+Stats!I19</f>
        <v>15</v>
      </c>
      <c r="I39" s="303">
        <f>IF(Stats!$M$4="",HLOOKUP(Stats!$B$5,Professions!$F$59:$DD$114,Professions!$DF$10,0),((HLOOKUP(Stats!$B$5,Professions!$F$59:$DD$114,Professions!$DF$10,0)+HLOOKUP(Stats!$B$6,Professions!$F$59:$DD$114,Professions!$DF$10,0))/2-0.01))</f>
        <v>-0.01</v>
      </c>
      <c r="J39" s="302"/>
      <c r="K39" s="303">
        <f>F39+H39+I39+J39</f>
        <v>-0.01</v>
      </c>
      <c r="M39" s="304"/>
      <c r="O39" s="80">
        <f t="shared" si="3"/>
        <v>0</v>
      </c>
      <c r="P39" s="115"/>
      <c r="Q39" s="305">
        <f>HLOOKUP(Stats!$B$2,Races!$AK$4:$EH$50,Races!EH13,0)</f>
        <v>1</v>
      </c>
      <c r="R39" s="257" t="s">
        <v>427</v>
      </c>
      <c r="S39" s="257" t="s">
        <v>427</v>
      </c>
      <c r="T39" s="308" t="str">
        <f>HLOOKUP(Stats!$B$2,Taulukko13[[Dragonborn]:[Hakua varten]],Races!EH108,0)</f>
        <v>Trickery</v>
      </c>
      <c r="U39" s="307"/>
      <c r="V39" s="135" t="str">
        <f>IF(VLOOKUP($V$2,Professions!$E$258:$DK$383,Y39,0)="","",(VLOOKUP($V$2,Professions!$E$258:$DK$383,Y39,0)))</f>
        <v/>
      </c>
      <c r="W39" s="135" t="str">
        <f>IF(VLOOKUP($W$2,Professions!$E$258:$DK$383,Y39,0)="","",(VLOOKUP($W$2,Professions!$E$258:$DK$383,Y39,0)))</f>
        <v/>
      </c>
      <c r="X39" s="135" t="str">
        <f>IF(VLOOKUP($X$2,Professions!$E$258:$DK$383,Y39,0)="","",(VLOOKUP($X$2,Professions!$E$258:$DK$383,Y39,0)))</f>
        <v/>
      </c>
      <c r="Y39" s="80">
        <v>38</v>
      </c>
    </row>
    <row r="40" spans="1:25" ht="12.75" customHeight="1" x14ac:dyDescent="0.2">
      <c r="A40" s="179"/>
      <c r="B40" s="257" t="s">
        <v>437</v>
      </c>
      <c r="C40" s="111" t="str">
        <f>HLOOKUP(Stats!$B$5,Professions!$E$2:$DD$57,9,0)</f>
        <v>3</v>
      </c>
      <c r="D40" s="111" t="str">
        <f>IF(Stats!$B$6="","",HLOOKUP(Stats!$B$6,Professions!$E$2:$DD$57,9,0))</f>
        <v>2/5</v>
      </c>
      <c r="E40" s="111"/>
      <c r="F40" s="111">
        <f>VLOOKUP(E40,Professions!$DQ$1:$DX$203,3)</f>
        <v>-15</v>
      </c>
      <c r="G40" s="111" t="s">
        <v>389</v>
      </c>
      <c r="H40" s="111">
        <f>Stats!$I$14</f>
        <v>7</v>
      </c>
      <c r="I40" s="111"/>
      <c r="J40" s="111"/>
      <c r="K40" s="197">
        <f t="shared" ref="K40:K54" si="4">F40+H40+I40+J40+$K$39</f>
        <v>-8.01</v>
      </c>
      <c r="M40" s="304"/>
      <c r="O40" s="80">
        <f t="shared" si="3"/>
        <v>0</v>
      </c>
      <c r="P40" s="115"/>
      <c r="Q40" s="305"/>
      <c r="R40" s="313" t="str">
        <f>IF(HLOOKUP(Stats!$B$5,Professions!$F$158:$DD$161,Professions!$DF$159,0)="","",HLOOKUP(Stats!$B$5,Professions!$F$158:$DD$161,Professions!$DF$159,0))</f>
        <v>None</v>
      </c>
      <c r="S40" s="315" t="str">
        <f>IF(Stats!$M$4="","",(IF(HLOOKUP(Stats!$B$6,Professions!$F$158:$DD$161,Professions!$DF$159,0)=0,"",HLOOKUP(Stats!$B$6,Professions!$F$158:$DD$161,Professions!$DF$159,0))))</f>
        <v>Absorb Power Points</v>
      </c>
      <c r="T40" s="308" t="str">
        <f>HLOOKUP(Stats!$B$2,Taulukko13[[Dragonborn]:[Hakua varten]],Races!EH109,0)</f>
        <v>Any Weapon skills</v>
      </c>
      <c r="U40" s="307"/>
      <c r="V40" s="135" t="str">
        <f>IF(VLOOKUP($V$2,Professions!$E$258:$DK$383,Y40,0)="","",(VLOOKUP($V$2,Professions!$E$258:$DK$383,Y40,0)))</f>
        <v/>
      </c>
      <c r="W40" s="135" t="str">
        <f>IF(VLOOKUP($W$2,Professions!$E$258:$DK$383,Y40,0)="","",(VLOOKUP($W$2,Professions!$E$258:$DK$383,Y40,0)))</f>
        <v/>
      </c>
      <c r="X40" s="135" t="str">
        <f>IF(VLOOKUP($X$2,Professions!$E$258:$DK$383,Y40,0)="","",(VLOOKUP($X$2,Professions!$E$258:$DK$383,Y40,0)))</f>
        <v/>
      </c>
      <c r="Y40" s="80">
        <v>39</v>
      </c>
    </row>
    <row r="41" spans="1:25" ht="12.75" customHeight="1" x14ac:dyDescent="0.2">
      <c r="A41" s="111"/>
      <c r="B41" s="246" t="s">
        <v>438</v>
      </c>
      <c r="C41" s="111" t="str">
        <f>HLOOKUP(Stats!$B$5,Professions!$E$2:$DD$57,9,0)</f>
        <v>3</v>
      </c>
      <c r="D41" s="111" t="str">
        <f>IF(Stats!$B$6="","",HLOOKUP(Stats!$B$6,Professions!$E$2:$DD$57,9,0))</f>
        <v>2/5</v>
      </c>
      <c r="E41" s="111"/>
      <c r="F41" s="111">
        <f>VLOOKUP(E41,Professions!$DQ$1:$DX$203,3)</f>
        <v>-15</v>
      </c>
      <c r="G41" s="111" t="s">
        <v>426</v>
      </c>
      <c r="H41" s="111">
        <f>Stats!$I$13</f>
        <v>2</v>
      </c>
      <c r="I41" s="111"/>
      <c r="J41" s="111"/>
      <c r="K41" s="197">
        <f t="shared" si="4"/>
        <v>-13.01</v>
      </c>
      <c r="M41" s="304"/>
      <c r="O41" s="80">
        <f t="shared" si="3"/>
        <v>0</v>
      </c>
      <c r="P41" s="115"/>
      <c r="Q41" s="305"/>
      <c r="R41" s="313" t="str">
        <f>IF(HLOOKUP(Stats!$B$5,Professions!$F$158:$DD$161,Professions!$DF$160,0)="","",HLOOKUP(Stats!$B$5,Professions!$F$158:$DD$161,Professions!$DF$160,0))</f>
        <v/>
      </c>
      <c r="S41" s="233" t="str">
        <f>IF(Stats!$M$4="","",(IF(HLOOKUP(Stats!$B$6,Professions!$F$158:$DD$161,Professions!$DF$160,0)=0,"",HLOOKUP(Stats!$B$6,Professions!$F$158:$DD$161,Professions!$DF$160,0))))</f>
        <v/>
      </c>
      <c r="T41" s="308" t="str">
        <f>HLOOKUP(Stats!$B$2,Taulukko13[[Dragonborn]:[Hakua varten]],Races!EH110,0)</f>
        <v>Wood-crafting</v>
      </c>
      <c r="U41" s="307"/>
      <c r="V41" s="135" t="str">
        <f>IF(VLOOKUP($V$2,Professions!$E$258:$DK$383,Y41,0)="","",(VLOOKUP($V$2,Professions!$E$258:$DK$383,Y41,0)))</f>
        <v/>
      </c>
      <c r="W41" s="135" t="str">
        <f>IF(VLOOKUP($W$2,Professions!$E$258:$DK$383,Y41,0)="","",(VLOOKUP($W$2,Professions!$E$258:$DK$383,Y41,0)))</f>
        <v/>
      </c>
      <c r="X41" s="135" t="str">
        <f>IF(VLOOKUP($X$2,Professions!$E$258:$DK$383,Y41,0)="","",(VLOOKUP($X$2,Professions!$E$258:$DK$383,Y41,0)))</f>
        <v/>
      </c>
      <c r="Y41" s="80">
        <v>40</v>
      </c>
    </row>
    <row r="42" spans="1:25" ht="12.75" customHeight="1" x14ac:dyDescent="0.2">
      <c r="A42" s="111"/>
      <c r="B42" s="246" t="s">
        <v>439</v>
      </c>
      <c r="C42" s="111" t="str">
        <f>HLOOKUP(Stats!$B$5,Professions!$E$2:$DD$57,9,0)</f>
        <v>3</v>
      </c>
      <c r="D42" s="111" t="str">
        <f>IF(Stats!$B$6="","",HLOOKUP(Stats!$B$6,Professions!$E$2:$DD$57,9,0))</f>
        <v>2/5</v>
      </c>
      <c r="E42" s="111"/>
      <c r="F42" s="111">
        <f>VLOOKUP(E42,Professions!$DQ$1:$DX$203,3)</f>
        <v>-15</v>
      </c>
      <c r="G42" s="111" t="s">
        <v>384</v>
      </c>
      <c r="H42" s="111">
        <f>Stats!$I$18</f>
        <v>9</v>
      </c>
      <c r="I42" s="111"/>
      <c r="J42" s="111"/>
      <c r="K42" s="197">
        <f t="shared" si="4"/>
        <v>-6.01</v>
      </c>
      <c r="M42" s="304"/>
      <c r="O42" s="80">
        <f t="shared" si="3"/>
        <v>0</v>
      </c>
      <c r="P42" s="115"/>
      <c r="Q42" s="305">
        <f>HLOOKUP(Stats!$B$2,Races!$AK$4:$EH$50,Races!EH14,0)</f>
        <v>1</v>
      </c>
      <c r="R42" s="313" t="str">
        <f>IF(HLOOKUP(Stats!$B$5,Professions!$F$158:$DD$161,Professions!$DF$161,0)="","",HLOOKUP(Stats!$B$5,Professions!$F$158:$DD$161,Professions!$DF$161,0))</f>
        <v/>
      </c>
      <c r="S42" s="233" t="str">
        <f>IF(Stats!$M$4="","",(IF(HLOOKUP(Stats!$B$6,Professions!$F$158:$DD$161,Professions!$DF$161,0)=0,"",HLOOKUP(Stats!$B$6,Professions!$F$158:$DD$161,Professions!$DF$161,0))))</f>
        <v/>
      </c>
      <c r="T42" s="308">
        <f>HLOOKUP(Stats!$B$2,Taulukko13[[Dragonborn]:[Hakua varten]],Races!EH111,0)</f>
        <v>0</v>
      </c>
      <c r="U42" s="307"/>
      <c r="V42" s="135" t="str">
        <f>IF(VLOOKUP($V$2,Professions!$E$258:$DK$383,Y42,0)="","",(VLOOKUP($V$2,Professions!$E$258:$DK$383,Y42,0)))</f>
        <v/>
      </c>
      <c r="W42" s="135" t="str">
        <f>IF(VLOOKUP($W$2,Professions!$E$258:$DK$383,Y42,0)="","",(VLOOKUP($W$2,Professions!$E$258:$DK$383,Y42,0)))</f>
        <v/>
      </c>
      <c r="X42" s="135" t="str">
        <f>IF(VLOOKUP($X$2,Professions!$E$258:$DK$383,Y42,0)="","",(VLOOKUP($X$2,Professions!$E$258:$DK$383,Y42,0)))</f>
        <v/>
      </c>
      <c r="Y42" s="80">
        <v>41</v>
      </c>
    </row>
    <row r="43" spans="1:25" ht="12.75" customHeight="1" x14ac:dyDescent="0.2">
      <c r="A43" s="111"/>
      <c r="B43" s="246" t="s">
        <v>440</v>
      </c>
      <c r="C43" s="111" t="str">
        <f>HLOOKUP(Stats!$B$5,Professions!$E$2:$DD$57,9,0)</f>
        <v>3</v>
      </c>
      <c r="D43" s="111" t="str">
        <f>IF(Stats!$B$6="","",HLOOKUP(Stats!$B$6,Professions!$E$2:$DD$57,9,0))</f>
        <v>2/5</v>
      </c>
      <c r="E43" s="111"/>
      <c r="F43" s="111">
        <f>VLOOKUP(E43,Professions!$DQ$1:$DX$203,3)</f>
        <v>-15</v>
      </c>
      <c r="G43" s="111" t="s">
        <v>220</v>
      </c>
      <c r="H43" s="111">
        <f>Stats!$I$15</f>
        <v>7</v>
      </c>
      <c r="I43" s="111"/>
      <c r="J43" s="111"/>
      <c r="K43" s="197">
        <f t="shared" si="4"/>
        <v>-8.01</v>
      </c>
      <c r="M43" s="304"/>
      <c r="O43" s="80">
        <f t="shared" si="3"/>
        <v>0</v>
      </c>
      <c r="P43" s="115"/>
      <c r="Q43" s="316"/>
      <c r="R43" s="317" t="s">
        <v>441</v>
      </c>
      <c r="S43" s="318" t="s">
        <v>441</v>
      </c>
      <c r="T43" s="308">
        <f>HLOOKUP(Stats!$B$2,Taulukko13[[Dragonborn]:[Hakua varten]],Races!EH112,0)</f>
        <v>0</v>
      </c>
      <c r="U43" s="307"/>
      <c r="V43" s="135" t="str">
        <f>IF(VLOOKUP($V$2,Professions!$E$258:$DK$383,Y43,0)="","",(VLOOKUP($V$2,Professions!$E$258:$DK$383,Y43,0)))</f>
        <v/>
      </c>
      <c r="W43" s="135" t="str">
        <f>IF(VLOOKUP($W$2,Professions!$E$258:$DK$383,Y43,0)="","",(VLOOKUP($W$2,Professions!$E$258:$DK$383,Y43,0)))</f>
        <v/>
      </c>
      <c r="X43" s="135" t="str">
        <f>IF(VLOOKUP($X$2,Professions!$E$258:$DK$383,Y43,0)="","",(VLOOKUP($X$2,Professions!$E$258:$DK$383,Y43,0)))</f>
        <v/>
      </c>
      <c r="Y43" s="80">
        <v>42</v>
      </c>
    </row>
    <row r="44" spans="1:25" ht="12.75" customHeight="1" x14ac:dyDescent="0.2">
      <c r="A44" s="111"/>
      <c r="B44" s="246" t="s">
        <v>442</v>
      </c>
      <c r="C44" s="111" t="str">
        <f>HLOOKUP(Stats!$B$5,Professions!$E$2:$DD$57,9,0)</f>
        <v>3</v>
      </c>
      <c r="D44" s="111" t="str">
        <f>IF(Stats!$B$6="","",HLOOKUP(Stats!$B$6,Professions!$E$2:$DD$57,9,0))</f>
        <v>2/5</v>
      </c>
      <c r="E44" s="111"/>
      <c r="F44" s="111">
        <f>VLOOKUP(E44,Professions!$DQ$1:$DX$203,3)</f>
        <v>-15</v>
      </c>
      <c r="G44" s="111" t="s">
        <v>389</v>
      </c>
      <c r="H44" s="111">
        <f>Stats!$I$14</f>
        <v>7</v>
      </c>
      <c r="I44" s="111"/>
      <c r="J44" s="111"/>
      <c r="K44" s="197">
        <f t="shared" si="4"/>
        <v>-8.01</v>
      </c>
      <c r="M44" s="304"/>
      <c r="O44" s="80">
        <f t="shared" si="3"/>
        <v>0</v>
      </c>
      <c r="P44" s="115"/>
      <c r="Q44" s="316"/>
      <c r="R44" s="319" t="s">
        <v>443</v>
      </c>
      <c r="S44" s="320" t="s">
        <v>443</v>
      </c>
      <c r="T44" s="308">
        <f>HLOOKUP(Stats!$B$2,Taulukko13[[Dragonborn]:[Hakua varten]],Races!EH113,0)</f>
        <v>0</v>
      </c>
      <c r="U44" s="307" t="s">
        <v>447</v>
      </c>
      <c r="V44" s="135" t="str">
        <f>IF(VLOOKUP($V$2,Professions!$E$258:$DK$383,Y44,0)="","",(VLOOKUP($V$2,Professions!$E$258:$DK$383,Y44,0)))</f>
        <v>None</v>
      </c>
      <c r="W44" s="135" t="str">
        <f>IF(VLOOKUP($W$2,Professions!$E$258:$DK$383,Y44,0)="","",(VLOOKUP($W$2,Professions!$E$258:$DK$383,Y44,0)))</f>
        <v>None</v>
      </c>
      <c r="X44" s="135" t="str">
        <f>IF(VLOOKUP($X$2,Professions!$E$258:$DK$383,Y44,0)="","",(VLOOKUP($X$2,Professions!$E$258:$DK$383,Y44,0)))</f>
        <v>None</v>
      </c>
      <c r="Y44" s="80">
        <v>43</v>
      </c>
    </row>
    <row r="45" spans="1:25" ht="12.75" customHeight="1" x14ac:dyDescent="0.2">
      <c r="A45" s="111"/>
      <c r="B45" s="246" t="s">
        <v>444</v>
      </c>
      <c r="C45" s="111" t="str">
        <f>HLOOKUP(Stats!$B$5,Professions!$E$2:$DD$57,9,0)</f>
        <v>3</v>
      </c>
      <c r="D45" s="111" t="str">
        <f>IF(Stats!$B$6="","",HLOOKUP(Stats!$B$6,Professions!$E$2:$DD$57,9,0))</f>
        <v>2/5</v>
      </c>
      <c r="E45" s="111"/>
      <c r="F45" s="111">
        <f>VLOOKUP(E45,Professions!$DQ$1:$DX$203,3)</f>
        <v>-15</v>
      </c>
      <c r="G45" s="111" t="s">
        <v>445</v>
      </c>
      <c r="H45" s="111">
        <f>Stats!$I$22</f>
        <v>10</v>
      </c>
      <c r="I45" s="111"/>
      <c r="J45" s="111"/>
      <c r="K45" s="197">
        <f t="shared" si="4"/>
        <v>-5.01</v>
      </c>
      <c r="M45" s="304"/>
      <c r="O45" s="80">
        <f t="shared" si="3"/>
        <v>0</v>
      </c>
      <c r="P45" s="115"/>
      <c r="Q45" s="305"/>
      <c r="R45" s="321" t="str">
        <f>IF(HLOOKUP(Stats!$B$5,Professions!$F$163:$DF$166,Professions!$DF$164,0)="","",HLOOKUP(Stats!$B$5,Professions!$F$163:$DF$166,Professions!$DF$164,0))</f>
        <v>None</v>
      </c>
      <c r="S45" s="322" t="str">
        <f>IF(Stats!$M$4="","",(IF(HLOOKUP(Stats!$B$6,Professions!$F$163:$DD$166,Professions!$DF$164,0)=0,"",HLOOKUP(Stats!$B$6,Professions!$F$163:$DD$166,Professions!$DF$164,0))))</f>
        <v>None</v>
      </c>
      <c r="T45" s="308">
        <f>HLOOKUP(Stats!$B$2,Taulukko13[[Dragonborn]:[Hakua varten]],Races!EH114,0)</f>
        <v>0</v>
      </c>
      <c r="U45" s="307" t="s">
        <v>449</v>
      </c>
      <c r="V45" s="135" t="str">
        <f>IF(VLOOKUP($V$2,Professions!$E$258:$DK$383,Y45,0)="","",(VLOOKUP($V$2,Professions!$E$258:$DK$383,Y45,0)))</f>
        <v>None</v>
      </c>
      <c r="W45" s="135" t="str">
        <f>IF(VLOOKUP($W$2,Professions!$E$258:$DK$383,Y45,0)="","",(VLOOKUP($W$2,Professions!$E$258:$DK$383,Y45,0)))</f>
        <v>None</v>
      </c>
      <c r="X45" s="135" t="str">
        <f>IF(VLOOKUP($X$2,Professions!$E$258:$DK$383,Y45,0)="","",(VLOOKUP($X$2,Professions!$E$258:$DK$383,Y45,0)))</f>
        <v>None</v>
      </c>
      <c r="Y45" s="80">
        <v>44</v>
      </c>
    </row>
    <row r="46" spans="1:25" ht="12.75" customHeight="1" x14ac:dyDescent="0.2">
      <c r="A46" s="111"/>
      <c r="B46" s="246" t="s">
        <v>446</v>
      </c>
      <c r="C46" s="111" t="str">
        <f>HLOOKUP(Stats!$B$5,Professions!$E$2:$DD$57,9,0)</f>
        <v>3</v>
      </c>
      <c r="D46" s="111" t="str">
        <f>IF(Stats!$B$6="","",HLOOKUP(Stats!$B$6,Professions!$E$2:$DD$57,9,0))</f>
        <v>2/5</v>
      </c>
      <c r="E46" s="111"/>
      <c r="F46" s="111">
        <f>VLOOKUP(E46,Professions!$DQ$1:$DX$203,3)</f>
        <v>-15</v>
      </c>
      <c r="G46" s="111" t="s">
        <v>445</v>
      </c>
      <c r="H46" s="111">
        <f>Stats!$I$22</f>
        <v>10</v>
      </c>
      <c r="I46" s="111"/>
      <c r="J46" s="111"/>
      <c r="K46" s="197">
        <f t="shared" si="4"/>
        <v>-5.01</v>
      </c>
      <c r="M46" s="304"/>
      <c r="O46" s="80">
        <f t="shared" si="3"/>
        <v>0</v>
      </c>
      <c r="P46" s="115"/>
      <c r="Q46" s="305"/>
      <c r="R46" s="321" t="str">
        <f>IF(HLOOKUP(Stats!$B$5,Professions!$F$163:$DF$166,Professions!$DF$165,0)="","",HLOOKUP(Stats!$B$5,Professions!$F$163:$DF$166,Professions!$DF$165,0))</f>
        <v/>
      </c>
      <c r="S46" s="322" t="str">
        <f>IF(Stats!$M$4="","",(IF(HLOOKUP(Stats!$B$6,Professions!$F$163:$DD$166,Professions!$DF$165,0)=0,"",HLOOKUP(Stats!$B$6,Professions!$F$163:$DD$166,Professions!$DF$165,0))))</f>
        <v/>
      </c>
      <c r="T46" s="151"/>
      <c r="U46" s="307" t="s">
        <v>451</v>
      </c>
      <c r="V46" s="135" t="str">
        <f>IF(VLOOKUP($V$2,Professions!$E$258:$DK$383,Y46,0)="","",(VLOOKUP($V$2,Professions!$E$258:$DK$383,Y46,0)))</f>
        <v>None</v>
      </c>
      <c r="W46" s="135" t="str">
        <f>IF(VLOOKUP($W$2,Professions!$E$258:$DK$383,Y46,0)="","",(VLOOKUP($W$2,Professions!$E$258:$DK$383,Y46,0)))</f>
        <v>None</v>
      </c>
      <c r="X46" s="135" t="str">
        <f>IF(VLOOKUP($X$2,Professions!$E$258:$DK$383,Y46,0)="","",(VLOOKUP($X$2,Professions!$E$258:$DK$383,Y46,0)))</f>
        <v>None</v>
      </c>
      <c r="Y46" s="80">
        <v>45</v>
      </c>
    </row>
    <row r="47" spans="1:25" ht="12.75" customHeight="1" x14ac:dyDescent="0.2">
      <c r="A47" s="111"/>
      <c r="B47" s="246" t="s">
        <v>448</v>
      </c>
      <c r="C47" s="111" t="str">
        <f>HLOOKUP(Stats!$B$5,Professions!$E$2:$DD$57,9,0)</f>
        <v>3</v>
      </c>
      <c r="D47" s="111" t="str">
        <f>IF(Stats!$B$6="","",HLOOKUP(Stats!$B$6,Professions!$E$2:$DD$57,9,0))</f>
        <v>2/5</v>
      </c>
      <c r="E47" s="111"/>
      <c r="F47" s="111">
        <f>VLOOKUP(E47,Professions!$DQ$1:$DX$203,3)</f>
        <v>-15</v>
      </c>
      <c r="G47" s="111" t="s">
        <v>389</v>
      </c>
      <c r="H47" s="111">
        <f>Stats!$I$14</f>
        <v>7</v>
      </c>
      <c r="I47" s="111"/>
      <c r="J47" s="111"/>
      <c r="K47" s="197">
        <f t="shared" si="4"/>
        <v>-8.01</v>
      </c>
      <c r="M47" s="304"/>
      <c r="O47" s="80">
        <f t="shared" si="3"/>
        <v>0</v>
      </c>
      <c r="P47" s="115"/>
      <c r="Q47" s="305"/>
      <c r="R47" s="323" t="str">
        <f>IF(HLOOKUP(Stats!$B$5,Professions!$F$163:$DF$166,Professions!$DF$165,0)="","",HLOOKUP(Stats!$B$5,Professions!$F$163:$DF$166,Professions!$DF$166,0))</f>
        <v/>
      </c>
      <c r="S47" s="324" t="str">
        <f>IF(Stats!$M$4="","",(IF(HLOOKUP(Stats!$B$6,Professions!$F$163:$DD$166,Professions!$DF$166,0)=0,"",HLOOKUP(Stats!$B$6,Professions!$F$163:$DD$166,Professions!$DF$166,0))))</f>
        <v/>
      </c>
      <c r="T47" s="151"/>
      <c r="U47" s="307"/>
      <c r="V47" s="135" t="str">
        <f>IF(VLOOKUP($V$2,Professions!$E$258:$DK$383,Y47,0)="","",(VLOOKUP($V$2,Professions!$E$258:$DK$383,Y47,0)))</f>
        <v/>
      </c>
      <c r="W47" s="135" t="str">
        <f>IF(VLOOKUP($W$2,Professions!$E$258:$DK$383,Y47,0)="","",(VLOOKUP($W$2,Professions!$E$258:$DK$383,Y47,0)))</f>
        <v/>
      </c>
      <c r="X47" s="135" t="str">
        <f>IF(VLOOKUP($X$2,Professions!$E$258:$DK$383,Y47,0)="","",(VLOOKUP($X$2,Professions!$E$258:$DK$383,Y47,0)))</f>
        <v/>
      </c>
      <c r="Y47" s="80">
        <v>46</v>
      </c>
    </row>
    <row r="48" spans="1:25" ht="12.75" customHeight="1" x14ac:dyDescent="0.2">
      <c r="A48" s="111"/>
      <c r="B48" s="246" t="s">
        <v>450</v>
      </c>
      <c r="C48" s="111" t="str">
        <f>HLOOKUP(Stats!$B$5,Professions!$E$2:$DD$57,9,0)</f>
        <v>3</v>
      </c>
      <c r="D48" s="111" t="str">
        <f>IF(Stats!$B$6="","",HLOOKUP(Stats!$B$6,Professions!$E$2:$DD$57,9,0))</f>
        <v>2/5</v>
      </c>
      <c r="E48" s="111"/>
      <c r="F48" s="111">
        <f>VLOOKUP(E48,Professions!$DQ$1:$DX$203,3)</f>
        <v>-15</v>
      </c>
      <c r="G48" s="111" t="s">
        <v>384</v>
      </c>
      <c r="H48" s="111">
        <f>Stats!$I$18</f>
        <v>9</v>
      </c>
      <c r="I48" s="111"/>
      <c r="J48" s="111"/>
      <c r="K48" s="197">
        <f t="shared" si="4"/>
        <v>-6.01</v>
      </c>
      <c r="M48" s="304"/>
      <c r="O48" s="80">
        <f t="shared" si="3"/>
        <v>0</v>
      </c>
      <c r="P48" s="115"/>
      <c r="Q48" s="305"/>
      <c r="T48" s="308"/>
      <c r="U48" s="307"/>
      <c r="Y48" s="80">
        <v>47</v>
      </c>
    </row>
    <row r="49" spans="1:25" ht="12.75" customHeight="1" x14ac:dyDescent="0.2">
      <c r="A49" s="111"/>
      <c r="B49" s="246" t="s">
        <v>452</v>
      </c>
      <c r="C49" s="111" t="str">
        <f>HLOOKUP(Stats!$B$5,Professions!$E$2:$DD$57,9,0)</f>
        <v>3</v>
      </c>
      <c r="D49" s="111" t="str">
        <f>IF(Stats!$B$6="","",HLOOKUP(Stats!$B$6,Professions!$E$2:$DD$57,9,0))</f>
        <v>2/5</v>
      </c>
      <c r="E49" s="111"/>
      <c r="F49" s="111">
        <f>VLOOKUP(E49,Professions!$DQ$1:$DX$203,3)</f>
        <v>-15</v>
      </c>
      <c r="G49" s="111" t="s">
        <v>389</v>
      </c>
      <c r="H49" s="111">
        <f>Stats!$I$14</f>
        <v>7</v>
      </c>
      <c r="I49" s="111"/>
      <c r="J49" s="111"/>
      <c r="K49" s="197">
        <f t="shared" si="4"/>
        <v>-8.01</v>
      </c>
      <c r="M49" s="304"/>
      <c r="O49" s="80">
        <f t="shared" si="3"/>
        <v>0</v>
      </c>
      <c r="P49" s="115"/>
      <c r="Q49" s="305"/>
      <c r="T49" s="308"/>
      <c r="U49" s="307" t="s">
        <v>360</v>
      </c>
      <c r="Y49" s="80">
        <v>48</v>
      </c>
    </row>
    <row r="50" spans="1:25" ht="12.75" customHeight="1" x14ac:dyDescent="0.2">
      <c r="A50" s="111"/>
      <c r="B50" s="246" t="s">
        <v>453</v>
      </c>
      <c r="C50" s="111" t="str">
        <f>HLOOKUP(Stats!$B$5,Professions!$E$2:$DD$57,9,0)</f>
        <v>3</v>
      </c>
      <c r="D50" s="111" t="str">
        <f>IF(Stats!$B$6="","",HLOOKUP(Stats!$B$6,Professions!$E$2:$DD$57,9,0))</f>
        <v>2/5</v>
      </c>
      <c r="E50" s="111"/>
      <c r="F50" s="111">
        <f>VLOOKUP(E50,Professions!$DQ$1:$DX$203,3)</f>
        <v>-15</v>
      </c>
      <c r="G50" s="111" t="s">
        <v>426</v>
      </c>
      <c r="H50" s="111">
        <f>Stats!$I$13</f>
        <v>2</v>
      </c>
      <c r="I50" s="111"/>
      <c r="J50" s="111"/>
      <c r="K50" s="197">
        <f t="shared" si="4"/>
        <v>-13.01</v>
      </c>
      <c r="M50" s="304"/>
      <c r="O50" s="80">
        <f t="shared" si="3"/>
        <v>0</v>
      </c>
      <c r="P50" s="115"/>
      <c r="Q50" s="305"/>
      <c r="T50" s="308"/>
      <c r="Y50" s="80">
        <v>49</v>
      </c>
    </row>
    <row r="51" spans="1:25" ht="12.75" customHeight="1" x14ac:dyDescent="0.2">
      <c r="A51" s="111"/>
      <c r="B51" s="246" t="s">
        <v>454</v>
      </c>
      <c r="C51" s="111" t="str">
        <f>HLOOKUP(Stats!$B$5,Professions!$E$2:$DD$57,9,0)</f>
        <v>3</v>
      </c>
      <c r="D51" s="111" t="str">
        <f>IF(Stats!$B$6="","",HLOOKUP(Stats!$B$6,Professions!$E$2:$DD$57,9,0))</f>
        <v>2/5</v>
      </c>
      <c r="E51" s="111"/>
      <c r="F51" s="111">
        <f>VLOOKUP(E51,Professions!$DQ$1:$DX$203,3)</f>
        <v>-15</v>
      </c>
      <c r="G51" s="111" t="s">
        <v>389</v>
      </c>
      <c r="H51" s="111">
        <f>Stats!$I$14</f>
        <v>7</v>
      </c>
      <c r="I51" s="111"/>
      <c r="J51" s="111"/>
      <c r="K51" s="197">
        <f t="shared" si="4"/>
        <v>-8.01</v>
      </c>
      <c r="M51" s="304"/>
      <c r="O51" s="80">
        <f t="shared" si="3"/>
        <v>0</v>
      </c>
      <c r="P51" s="115"/>
      <c r="Q51" s="305"/>
      <c r="T51" s="257"/>
      <c r="U51" s="325"/>
      <c r="Y51" s="80">
        <v>50</v>
      </c>
    </row>
    <row r="52" spans="1:25" ht="12.75" customHeight="1" x14ac:dyDescent="0.2">
      <c r="A52" s="111"/>
      <c r="B52" s="246" t="s">
        <v>455</v>
      </c>
      <c r="C52" s="111" t="str">
        <f>HLOOKUP(Stats!$B$5,Professions!$E$2:$DD$57,9,0)</f>
        <v>3</v>
      </c>
      <c r="D52" s="111" t="str">
        <f>IF(Stats!$B$6="","",HLOOKUP(Stats!$B$6,Professions!$E$2:$DD$57,9,0))</f>
        <v>2/5</v>
      </c>
      <c r="E52" s="111"/>
      <c r="F52" s="111">
        <f>VLOOKUP(E52,Professions!$DQ$1:$DX$203,3)</f>
        <v>-15</v>
      </c>
      <c r="G52" s="111" t="s">
        <v>426</v>
      </c>
      <c r="H52" s="111">
        <f>Stats!$I$13</f>
        <v>2</v>
      </c>
      <c r="I52" s="111"/>
      <c r="J52" s="111"/>
      <c r="K52" s="197">
        <f t="shared" si="4"/>
        <v>-13.01</v>
      </c>
      <c r="M52" s="304"/>
      <c r="O52" s="80">
        <f t="shared" si="3"/>
        <v>0</v>
      </c>
      <c r="P52" s="115"/>
      <c r="Q52" s="305"/>
      <c r="Y52" s="80">
        <v>51</v>
      </c>
    </row>
    <row r="53" spans="1:25" ht="12.75" customHeight="1" x14ac:dyDescent="0.2">
      <c r="A53" s="111"/>
      <c r="B53" s="246" t="s">
        <v>456</v>
      </c>
      <c r="C53" s="111" t="str">
        <f>HLOOKUP(Stats!$B$5,Professions!$E$2:$DD$57,9,0)</f>
        <v>3</v>
      </c>
      <c r="D53" s="111" t="str">
        <f>IF(Stats!$B$6="","",HLOOKUP(Stats!$B$6,Professions!$E$2:$DD$57,9,0))</f>
        <v>2/5</v>
      </c>
      <c r="E53" s="111"/>
      <c r="F53" s="111">
        <f>VLOOKUP(E53,Professions!$DQ$1:$DX$203,3)</f>
        <v>-15</v>
      </c>
      <c r="G53" s="111" t="s">
        <v>220</v>
      </c>
      <c r="H53" s="111">
        <f>Stats!$I$15</f>
        <v>7</v>
      </c>
      <c r="I53" s="111"/>
      <c r="J53" s="111"/>
      <c r="K53" s="197">
        <f t="shared" si="4"/>
        <v>-8.01</v>
      </c>
      <c r="M53" s="304"/>
      <c r="O53" s="80">
        <f t="shared" si="3"/>
        <v>0</v>
      </c>
      <c r="P53" s="115"/>
      <c r="Q53" s="305"/>
      <c r="Y53" s="80">
        <v>52</v>
      </c>
    </row>
    <row r="54" spans="1:25" ht="12.75" customHeight="1" x14ac:dyDescent="0.2">
      <c r="A54" s="148"/>
      <c r="B54" s="309" t="s">
        <v>457</v>
      </c>
      <c r="C54" s="111" t="str">
        <f>HLOOKUP(Stats!$B$5,Professions!$E$2:$DD$57,9,0)</f>
        <v>3</v>
      </c>
      <c r="D54" s="111" t="str">
        <f>IF(Stats!$B$6="","",HLOOKUP(Stats!$B$6,Professions!$E$2:$DD$57,9,0))</f>
        <v>2/5</v>
      </c>
      <c r="E54" s="111"/>
      <c r="F54" s="111">
        <f>VLOOKUP(E54,Professions!$DQ$1:$DX$203,3)</f>
        <v>-15</v>
      </c>
      <c r="G54" s="111" t="s">
        <v>389</v>
      </c>
      <c r="H54" s="111">
        <f>Stats!$I$14</f>
        <v>7</v>
      </c>
      <c r="I54" s="111"/>
      <c r="J54" s="111"/>
      <c r="K54" s="197">
        <f t="shared" si="4"/>
        <v>-8.01</v>
      </c>
      <c r="M54" s="304"/>
      <c r="O54" s="80">
        <f t="shared" si="3"/>
        <v>0</v>
      </c>
      <c r="P54" s="115"/>
      <c r="Q54" s="305"/>
      <c r="Y54" s="80">
        <v>53</v>
      </c>
    </row>
    <row r="55" spans="1:25" ht="12.75" customHeight="1" x14ac:dyDescent="0.2">
      <c r="A55" s="244" t="s">
        <v>458</v>
      </c>
      <c r="B55" s="204"/>
      <c r="C55" s="226"/>
      <c r="D55" s="226"/>
      <c r="E55" s="302"/>
      <c r="F55" s="302"/>
      <c r="G55" s="302" t="s">
        <v>459</v>
      </c>
      <c r="H55" s="302">
        <f>Stats!I15+Stats!I22</f>
        <v>17</v>
      </c>
      <c r="I55" s="303">
        <f>IF(Stats!$M$4="",HLOOKUP(Stats!$B$5,Professions!$F$59:$DD$114,Professions!$DF$11,0),((HLOOKUP(Stats!$B$5,Professions!$F$59:$DD$114,Professions!$DF$11,0)+HLOOKUP(Stats!$B$6,Professions!$F$59:$DD$114,Professions!$DF$11,0))/2-0.01))</f>
        <v>-0.01</v>
      </c>
      <c r="J55" s="302"/>
      <c r="K55" s="303">
        <f>F55+H55+I55+J55</f>
        <v>16.989999999999998</v>
      </c>
      <c r="M55" s="304"/>
      <c r="O55" s="80">
        <f t="shared" si="3"/>
        <v>0</v>
      </c>
      <c r="P55" s="115"/>
      <c r="Q55" s="305">
        <f>HLOOKUP(Stats!$B$2,Races!$AK$4:$EH$50,Races!EH15,0)</f>
        <v>0</v>
      </c>
      <c r="Y55" s="80">
        <v>54</v>
      </c>
    </row>
    <row r="56" spans="1:25" ht="12.75" customHeight="1" x14ac:dyDescent="0.2">
      <c r="A56" s="179"/>
      <c r="B56" s="257" t="s">
        <v>460</v>
      </c>
      <c r="C56" s="111" t="str">
        <f>HLOOKUP(Stats!$B$5,Professions!$E$2:$DD$57,10,0)</f>
        <v>6</v>
      </c>
      <c r="D56" s="111" t="str">
        <f>IF(Stats!$B$6="","",HLOOKUP(Stats!$B$6,Professions!$E$2:$DD$57,10,0))</f>
        <v>2/9</v>
      </c>
      <c r="E56" s="111"/>
      <c r="F56" s="111">
        <f>VLOOKUP(E56,Professions!$DQ$1:$DX$203,8)</f>
        <v>0</v>
      </c>
      <c r="G56" s="111" t="s">
        <v>445</v>
      </c>
      <c r="H56" s="111">
        <f>Stats!$I$22</f>
        <v>10</v>
      </c>
      <c r="I56" s="111"/>
      <c r="J56" s="111"/>
      <c r="K56" s="197">
        <f>F56+H56+I56+J56+$K$55</f>
        <v>26.99</v>
      </c>
      <c r="M56" s="304"/>
      <c r="O56" s="80">
        <f t="shared" si="3"/>
        <v>0</v>
      </c>
      <c r="P56" s="115"/>
      <c r="Q56" s="305">
        <f>HLOOKUP(Stats!$B$2,Races!$AK$4:$EH$50,Races!EH16,0)</f>
        <v>2</v>
      </c>
      <c r="S56" s="80">
        <f>HLOOKUP(Stats!$B$5,Professions!$F$59:$DD$114,Professions!$DF$8,0)</f>
        <v>0</v>
      </c>
      <c r="Y56" s="80">
        <v>55</v>
      </c>
    </row>
    <row r="57" spans="1:25" ht="12.75" customHeight="1" x14ac:dyDescent="0.2">
      <c r="A57" s="148"/>
      <c r="B57" s="309" t="s">
        <v>461</v>
      </c>
      <c r="C57" s="111" t="str">
        <f>HLOOKUP(Stats!$B$5,Professions!$E$2:$DD$57,10,0)</f>
        <v>6</v>
      </c>
      <c r="D57" s="111" t="str">
        <f>IF(Stats!$B$6="","",HLOOKUP(Stats!$B$6,Professions!$E$2:$DD$57,10,0))</f>
        <v>2/9</v>
      </c>
      <c r="E57" s="111"/>
      <c r="F57" s="111">
        <f>VLOOKUP(E57,Professions!$DQ$1:$DX$203,8)</f>
        <v>0</v>
      </c>
      <c r="G57" s="111" t="s">
        <v>462</v>
      </c>
      <c r="H57" s="111">
        <f>Stats!$I$21</f>
        <v>5</v>
      </c>
      <c r="I57" s="111"/>
      <c r="J57" s="111"/>
      <c r="K57" s="197">
        <f>F57+H57+I57+J57+$K$55</f>
        <v>21.99</v>
      </c>
      <c r="M57" s="304"/>
      <c r="O57" s="80">
        <f t="shared" si="3"/>
        <v>0</v>
      </c>
      <c r="P57" s="115"/>
      <c r="Q57" s="305"/>
      <c r="S57" s="80">
        <f>HLOOKUP(Stats!$B$6,Professions!$F$59:$DD$114,Professions!$DF$8,0)</f>
        <v>0</v>
      </c>
      <c r="Y57" s="80">
        <v>56</v>
      </c>
    </row>
    <row r="58" spans="1:25" ht="12.75" customHeight="1" x14ac:dyDescent="0.2">
      <c r="A58" s="244" t="s">
        <v>463</v>
      </c>
      <c r="B58" s="204"/>
      <c r="C58" s="226" t="str">
        <f>HLOOKUP(Stats!$B$5,Professions!$E$2:$DD$57,11,0)</f>
        <v>3</v>
      </c>
      <c r="D58" s="226" t="str">
        <f>IF(Stats!$B$6="","",HLOOKUP(Stats!$B$6,Professions!$E$2:$DD$57,11,0))</f>
        <v>2/5</v>
      </c>
      <c r="E58" s="302"/>
      <c r="F58" s="302">
        <f>VLOOKUP(E58,Professions!$DQ$1:$DX$203,2)</f>
        <v>-15</v>
      </c>
      <c r="G58" s="302" t="s">
        <v>464</v>
      </c>
      <c r="H58" s="302">
        <f>Stats!I22+Stats!I17</f>
        <v>10</v>
      </c>
      <c r="I58" s="303">
        <f>IF(Stats!$M$4="",HLOOKUP(Stats!$B$5,Professions!$F$59:$DD$114,Professions!$DF$12,0),((HLOOKUP(Stats!$B$5,Professions!$F$59:$DD$114,Professions!$DF$12,0)+HLOOKUP(Stats!$B$6,Professions!$F$59:$DD$114,Professions!$DF$12,0))/2-0.01))</f>
        <v>-0.01</v>
      </c>
      <c r="J58" s="302"/>
      <c r="K58" s="303">
        <f>F58+H58+I58+J58</f>
        <v>-5.01</v>
      </c>
      <c r="M58" s="304"/>
      <c r="O58" s="80">
        <f t="shared" si="3"/>
        <v>0</v>
      </c>
      <c r="P58" s="115"/>
      <c r="Q58" s="305">
        <f>HLOOKUP(Stats!$B$2,Races!$AK$4:$EH$50,Races!EH17,0)</f>
        <v>1</v>
      </c>
      <c r="Y58" s="80">
        <v>57</v>
      </c>
    </row>
    <row r="59" spans="1:25" ht="12.75" customHeight="1" x14ac:dyDescent="0.2">
      <c r="A59" s="179"/>
      <c r="B59" s="257" t="s">
        <v>465</v>
      </c>
      <c r="C59" s="111" t="str">
        <f>HLOOKUP(Stats!$B$5,Professions!$E$2:$DD$57,11,0)</f>
        <v>3</v>
      </c>
      <c r="D59" s="111" t="str">
        <f>IF(Stats!$B$6="","",HLOOKUP(Stats!$B$6,Professions!$E$2:$DD$57,11,0))</f>
        <v>2/5</v>
      </c>
      <c r="E59" s="111"/>
      <c r="F59" s="111">
        <f>VLOOKUP(E59,Professions!$DQ$1:$DX$203,3)</f>
        <v>-15</v>
      </c>
      <c r="G59" s="111" t="s">
        <v>445</v>
      </c>
      <c r="H59" s="111">
        <f>Stats!$I$22</f>
        <v>10</v>
      </c>
      <c r="I59" s="111"/>
      <c r="J59" s="111"/>
      <c r="K59" s="197">
        <f t="shared" ref="K59:K66" si="5">F59+H59+I59+J59+$K$58</f>
        <v>-10.01</v>
      </c>
      <c r="M59" s="304"/>
      <c r="O59" s="80">
        <f t="shared" si="3"/>
        <v>0</v>
      </c>
      <c r="P59" s="115"/>
      <c r="Q59" s="305"/>
      <c r="Y59" s="80">
        <v>58</v>
      </c>
    </row>
    <row r="60" spans="1:25" ht="12.75" customHeight="1" x14ac:dyDescent="0.2">
      <c r="A60" s="111"/>
      <c r="B60" s="246" t="s">
        <v>466</v>
      </c>
      <c r="C60" s="111" t="str">
        <f>HLOOKUP(Stats!$B$5,Professions!$E$2:$DD$57,11,0)</f>
        <v>3</v>
      </c>
      <c r="D60" s="111" t="str">
        <f>IF(Stats!$B$6="","",HLOOKUP(Stats!$B$6,Professions!$E$2:$DD$57,11,0))</f>
        <v>2/5</v>
      </c>
      <c r="E60" s="111"/>
      <c r="F60" s="111">
        <f>VLOOKUP(E60,Professions!$DQ$1:$DX$203,3)</f>
        <v>-15</v>
      </c>
      <c r="G60" s="111" t="s">
        <v>462</v>
      </c>
      <c r="H60" s="111">
        <f>Stats!$I$21</f>
        <v>5</v>
      </c>
      <c r="I60" s="111"/>
      <c r="J60" s="111"/>
      <c r="K60" s="197">
        <f t="shared" si="5"/>
        <v>-15.01</v>
      </c>
      <c r="M60" s="304"/>
      <c r="O60" s="80">
        <f t="shared" si="3"/>
        <v>0</v>
      </c>
      <c r="P60" s="115"/>
      <c r="Q60" s="305"/>
      <c r="Y60" s="80">
        <v>59</v>
      </c>
    </row>
    <row r="61" spans="1:25" ht="12.75" customHeight="1" x14ac:dyDescent="0.2">
      <c r="A61" s="111"/>
      <c r="B61" s="246" t="s">
        <v>467</v>
      </c>
      <c r="C61" s="111" t="str">
        <f>HLOOKUP(Stats!$B$5,Professions!$E$2:$DD$57,11,0)</f>
        <v>3</v>
      </c>
      <c r="D61" s="111" t="str">
        <f>IF(Stats!$B$6="","",HLOOKUP(Stats!$B$6,Professions!$E$2:$DD$57,11,0))</f>
        <v>2/5</v>
      </c>
      <c r="E61" s="111"/>
      <c r="F61" s="111">
        <f>VLOOKUP(E61,Professions!$DQ$1:$DX$203,3)</f>
        <v>-15</v>
      </c>
      <c r="G61" s="111" t="s">
        <v>445</v>
      </c>
      <c r="H61" s="111">
        <f>Stats!$I$22</f>
        <v>10</v>
      </c>
      <c r="I61" s="111"/>
      <c r="J61" s="111"/>
      <c r="K61" s="197">
        <f t="shared" si="5"/>
        <v>-10.01</v>
      </c>
      <c r="M61" s="304"/>
      <c r="O61" s="80">
        <f t="shared" si="3"/>
        <v>0</v>
      </c>
      <c r="P61" s="115"/>
      <c r="Q61" s="305"/>
      <c r="Y61" s="80">
        <v>60</v>
      </c>
    </row>
    <row r="62" spans="1:25" ht="12.75" customHeight="1" x14ac:dyDescent="0.2">
      <c r="A62" s="111"/>
      <c r="B62" s="246" t="s">
        <v>468</v>
      </c>
      <c r="C62" s="111" t="str">
        <f>HLOOKUP(Stats!$B$5,Professions!$E$2:$DD$57,11,0)</f>
        <v>3</v>
      </c>
      <c r="D62" s="111" t="str">
        <f>IF(Stats!$B$6="","",HLOOKUP(Stats!$B$6,Professions!$E$2:$DD$57,11,0))</f>
        <v>2/5</v>
      </c>
      <c r="E62" s="111"/>
      <c r="F62" s="111">
        <f>VLOOKUP(E62,Professions!$DQ$1:$DX$203,3)</f>
        <v>-15</v>
      </c>
      <c r="G62" s="111" t="s">
        <v>220</v>
      </c>
      <c r="H62" s="111">
        <f>Stats!$I$15</f>
        <v>7</v>
      </c>
      <c r="I62" s="111"/>
      <c r="J62" s="111"/>
      <c r="K62" s="197">
        <f t="shared" si="5"/>
        <v>-13.01</v>
      </c>
      <c r="M62" s="304"/>
      <c r="O62" s="80">
        <f t="shared" si="3"/>
        <v>0</v>
      </c>
      <c r="P62" s="115"/>
      <c r="Q62" s="305"/>
      <c r="Y62" s="80">
        <v>61</v>
      </c>
    </row>
    <row r="63" spans="1:25" ht="12.75" customHeight="1" x14ac:dyDescent="0.2">
      <c r="A63" s="111"/>
      <c r="B63" s="246" t="s">
        <v>469</v>
      </c>
      <c r="C63" s="111" t="str">
        <f>HLOOKUP(Stats!$B$5,Professions!$E$2:$DD$57,11,0)</f>
        <v>3</v>
      </c>
      <c r="D63" s="111" t="str">
        <f>IF(Stats!$B$6="","",HLOOKUP(Stats!$B$6,Professions!$E$2:$DD$57,11,0))</f>
        <v>2/5</v>
      </c>
      <c r="E63" s="111"/>
      <c r="F63" s="111">
        <f>VLOOKUP(E63,Professions!$DQ$1:$DX$203,3)</f>
        <v>-15</v>
      </c>
      <c r="G63" s="111" t="s">
        <v>399</v>
      </c>
      <c r="H63" s="111">
        <f>Stats!$I$16</f>
        <v>0</v>
      </c>
      <c r="I63" s="111"/>
      <c r="J63" s="111"/>
      <c r="K63" s="197">
        <f t="shared" si="5"/>
        <v>-20.009999999999998</v>
      </c>
      <c r="M63" s="304"/>
      <c r="O63" s="80">
        <f t="shared" si="3"/>
        <v>0</v>
      </c>
      <c r="P63" s="115"/>
      <c r="Q63" s="305"/>
      <c r="Y63" s="80">
        <v>62</v>
      </c>
    </row>
    <row r="64" spans="1:25" ht="12.75" customHeight="1" x14ac:dyDescent="0.2">
      <c r="A64" s="111"/>
      <c r="B64" s="246" t="s">
        <v>470</v>
      </c>
      <c r="C64" s="111" t="str">
        <f>HLOOKUP(Stats!$B$5,Professions!$E$2:$DD$57,11,0)</f>
        <v>3</v>
      </c>
      <c r="D64" s="111" t="str">
        <f>IF(Stats!$B$6="","",HLOOKUP(Stats!$B$6,Professions!$E$2:$DD$57,11,0))</f>
        <v>2/5</v>
      </c>
      <c r="E64" s="111"/>
      <c r="F64" s="111">
        <f>VLOOKUP(E64,Professions!$DQ$1:$DX$203,3)</f>
        <v>-15</v>
      </c>
      <c r="G64" s="111" t="s">
        <v>220</v>
      </c>
      <c r="H64" s="111">
        <f>Stats!$I$15</f>
        <v>7</v>
      </c>
      <c r="I64" s="111"/>
      <c r="J64" s="111"/>
      <c r="K64" s="197">
        <f t="shared" si="5"/>
        <v>-13.01</v>
      </c>
      <c r="M64" s="304"/>
      <c r="O64" s="80">
        <f t="shared" si="3"/>
        <v>0</v>
      </c>
      <c r="P64" s="115"/>
      <c r="Q64" s="305"/>
      <c r="Y64" s="80">
        <v>63</v>
      </c>
    </row>
    <row r="65" spans="1:25" ht="12.75" customHeight="1" x14ac:dyDescent="0.2">
      <c r="A65" s="148"/>
      <c r="B65" s="309" t="s">
        <v>471</v>
      </c>
      <c r="C65" s="148" t="str">
        <f>HLOOKUP(Stats!$B$5,Professions!$E$2:$DD$57,11,0)</f>
        <v>3</v>
      </c>
      <c r="D65" s="148" t="str">
        <f>IF(Stats!$B$6="","",HLOOKUP(Stats!$B$6,Professions!$E$2:$DD$57,11,0))</f>
        <v>2/5</v>
      </c>
      <c r="E65" s="148"/>
      <c r="F65" s="148">
        <f>VLOOKUP(E65,Professions!$DQ$1:$DX$203,3)</f>
        <v>-15</v>
      </c>
      <c r="G65" s="148" t="s">
        <v>220</v>
      </c>
      <c r="H65" s="148">
        <f>Stats!$I$15</f>
        <v>7</v>
      </c>
      <c r="I65" s="148"/>
      <c r="J65" s="148"/>
      <c r="K65" s="326">
        <f t="shared" si="5"/>
        <v>-13.01</v>
      </c>
      <c r="M65" s="304"/>
      <c r="O65" s="80">
        <f t="shared" si="3"/>
        <v>0</v>
      </c>
      <c r="P65" s="115"/>
      <c r="Q65" s="305"/>
      <c r="Y65" s="80">
        <v>64</v>
      </c>
    </row>
    <row r="66" spans="1:25" ht="12.75" customHeight="1" x14ac:dyDescent="0.2">
      <c r="A66" s="111"/>
      <c r="B66" s="246" t="s">
        <v>472</v>
      </c>
      <c r="C66" s="111" t="str">
        <f>HLOOKUP(Stats!$B$5,Professions!$E$2:$DD$57,11,0)</f>
        <v>3</v>
      </c>
      <c r="D66" s="111" t="str">
        <f>IF(Stats!$B$6="","",HLOOKUP(Stats!$B$6,Professions!$E$2:$DD$57,11,0))</f>
        <v>2/5</v>
      </c>
      <c r="E66" s="111"/>
      <c r="F66" s="111">
        <f>VLOOKUP(E66,Professions!$DQ$1:$DX$203,3)</f>
        <v>-15</v>
      </c>
      <c r="G66" s="111" t="s">
        <v>220</v>
      </c>
      <c r="H66" s="111">
        <f>Stats!$I$15</f>
        <v>7</v>
      </c>
      <c r="I66" s="111"/>
      <c r="J66" s="111"/>
      <c r="K66" s="197">
        <f t="shared" si="5"/>
        <v>-13.01</v>
      </c>
      <c r="M66" s="304"/>
      <c r="O66" s="80">
        <f t="shared" si="3"/>
        <v>0</v>
      </c>
      <c r="P66" s="115"/>
      <c r="Q66" s="305"/>
      <c r="Y66" s="80">
        <v>65</v>
      </c>
    </row>
    <row r="67" spans="1:25" ht="12.75" customHeight="1" x14ac:dyDescent="0.2">
      <c r="A67" s="424" t="s">
        <v>366</v>
      </c>
      <c r="B67" s="424"/>
      <c r="C67" s="106" t="s">
        <v>4015</v>
      </c>
      <c r="D67" s="106" t="s">
        <v>4016</v>
      </c>
      <c r="E67" s="106" t="s">
        <v>367</v>
      </c>
      <c r="F67" s="106" t="s">
        <v>368</v>
      </c>
      <c r="G67" s="106" t="s">
        <v>369</v>
      </c>
      <c r="H67" s="292" t="s">
        <v>370</v>
      </c>
      <c r="I67" s="106" t="s">
        <v>371</v>
      </c>
      <c r="J67" s="293" t="s">
        <v>205</v>
      </c>
      <c r="K67" s="293" t="s">
        <v>207</v>
      </c>
      <c r="M67" s="304"/>
      <c r="O67" s="80" t="s">
        <v>367</v>
      </c>
      <c r="P67" s="115"/>
      <c r="Q67" s="305"/>
      <c r="Y67" s="80">
        <v>66</v>
      </c>
    </row>
    <row r="68" spans="1:25" ht="12.75" customHeight="1" x14ac:dyDescent="0.2">
      <c r="A68" s="327" t="s">
        <v>473</v>
      </c>
      <c r="B68" s="328"/>
      <c r="C68" s="180" t="str">
        <f>HLOOKUP(Stats!$B$5,Professions!$E$2:$DD$57,12,0)</f>
        <v>3/7</v>
      </c>
      <c r="D68" s="226" t="str">
        <f>IF(Stats!$B$6="","",HLOOKUP(Stats!$B$6,Professions!$E$2:$DD$57,12,0))</f>
        <v>2/6</v>
      </c>
      <c r="E68" s="157"/>
      <c r="F68" s="157">
        <f>VLOOKUP(E68,Professions!$DQ$1:$DX$203,2)</f>
        <v>-15</v>
      </c>
      <c r="G68" s="157" t="s">
        <v>459</v>
      </c>
      <c r="H68" s="157">
        <f>Stats!I22+Stats!I15</f>
        <v>17</v>
      </c>
      <c r="I68" s="303">
        <f>IF(Stats!$M$4="",HLOOKUP(Stats!$B$5,Professions!$F$59:$DD$114,Professions!$DF$13,0),((HLOOKUP(Stats!$B$5,Professions!$F$59:$DD$114,Professions!$DF$13,0)+HLOOKUP(Stats!$B$6,Professions!$F$59:$DD$114,Professions!$DF$13,0))/2-0.01))</f>
        <v>-0.01</v>
      </c>
      <c r="J68" s="157"/>
      <c r="K68" s="329">
        <f>F68+H68+I68+J68</f>
        <v>1.99</v>
      </c>
      <c r="M68" s="304"/>
      <c r="O68" s="80">
        <f t="shared" ref="O68:O100" si="6">E68+M68</f>
        <v>0</v>
      </c>
      <c r="P68" s="115"/>
      <c r="Q68" s="305"/>
      <c r="Y68" s="80">
        <v>67</v>
      </c>
    </row>
    <row r="69" spans="1:25" ht="12.75" customHeight="1" x14ac:dyDescent="0.2">
      <c r="A69" s="179"/>
      <c r="B69" s="257" t="s">
        <v>474</v>
      </c>
      <c r="C69" s="111" t="str">
        <f>HLOOKUP(Stats!$B$5,Professions!$E$2:$DD$57,12,0)</f>
        <v>3/7</v>
      </c>
      <c r="D69" s="111" t="str">
        <f>IF(Stats!$B$6="","",HLOOKUP(Stats!$B$6,Professions!$E$2:$DD$57,12,0))</f>
        <v>2/6</v>
      </c>
      <c r="E69" s="111"/>
      <c r="F69" s="111">
        <f>VLOOKUP(E69,Professions!$DQ$1:$DX$203,3)</f>
        <v>-15</v>
      </c>
      <c r="G69" s="111" t="s">
        <v>445</v>
      </c>
      <c r="H69" s="111">
        <f>Stats!$I$22</f>
        <v>10</v>
      </c>
      <c r="I69" s="111"/>
      <c r="J69" s="111"/>
      <c r="K69" s="197">
        <f t="shared" ref="K69:K79" si="7">F69+H69+I69+J69+$K$68</f>
        <v>-3.01</v>
      </c>
      <c r="M69" s="304"/>
      <c r="O69" s="80">
        <f t="shared" si="6"/>
        <v>0</v>
      </c>
      <c r="P69" s="115"/>
      <c r="Q69" s="305"/>
      <c r="Y69" s="80">
        <v>68</v>
      </c>
    </row>
    <row r="70" spans="1:25" ht="12.75" customHeight="1" x14ac:dyDescent="0.2">
      <c r="A70" s="111"/>
      <c r="B70" s="246" t="s">
        <v>475</v>
      </c>
      <c r="C70" s="111" t="str">
        <f>HLOOKUP(Stats!$B$5,Professions!$E$2:$DD$57,12,0)</f>
        <v>3/7</v>
      </c>
      <c r="D70" s="111" t="str">
        <f>IF(Stats!$B$6="","",HLOOKUP(Stats!$B$6,Professions!$E$2:$DD$57,12,0))</f>
        <v>2/6</v>
      </c>
      <c r="E70" s="111"/>
      <c r="F70" s="111">
        <f>VLOOKUP(E70,Professions!$DQ$1:$DX$203,3)</f>
        <v>-15</v>
      </c>
      <c r="G70" s="111" t="s">
        <v>445</v>
      </c>
      <c r="H70" s="111">
        <f>Stats!$I$22</f>
        <v>10</v>
      </c>
      <c r="I70" s="111"/>
      <c r="J70" s="111"/>
      <c r="K70" s="197">
        <f t="shared" si="7"/>
        <v>-3.01</v>
      </c>
      <c r="M70" s="304"/>
      <c r="O70" s="80">
        <f t="shared" si="6"/>
        <v>0</v>
      </c>
      <c r="P70" s="115"/>
      <c r="Q70" s="305"/>
      <c r="Y70" s="80">
        <v>69</v>
      </c>
    </row>
    <row r="71" spans="1:25" ht="12.75" customHeight="1" x14ac:dyDescent="0.2">
      <c r="A71" s="111"/>
      <c r="B71" s="246" t="s">
        <v>478</v>
      </c>
      <c r="C71" s="111" t="str">
        <f>HLOOKUP(Stats!$B$5,Professions!$E$2:$DD$57,12,0)</f>
        <v>3/7</v>
      </c>
      <c r="D71" s="111" t="str">
        <f>IF(Stats!$B$6="","",HLOOKUP(Stats!$B$6,Professions!$E$2:$DD$57,12,0))</f>
        <v>2/6</v>
      </c>
      <c r="E71" s="111"/>
      <c r="F71" s="111">
        <f>VLOOKUP(E71,Professions!$DQ$1:$DX$203,3)</f>
        <v>-15</v>
      </c>
      <c r="G71" s="111" t="s">
        <v>409</v>
      </c>
      <c r="H71" s="111">
        <f>Stats!$I$20</f>
        <v>2</v>
      </c>
      <c r="I71" s="111"/>
      <c r="J71" s="111"/>
      <c r="K71" s="197">
        <f t="shared" si="7"/>
        <v>-11.01</v>
      </c>
      <c r="M71" s="304"/>
      <c r="O71" s="80">
        <f t="shared" si="6"/>
        <v>0</v>
      </c>
      <c r="P71" s="115"/>
      <c r="Q71" s="305"/>
      <c r="Y71" s="80">
        <v>70</v>
      </c>
    </row>
    <row r="72" spans="1:25" ht="12.75" customHeight="1" x14ac:dyDescent="0.2">
      <c r="A72" s="111"/>
      <c r="B72" s="246" t="s">
        <v>479</v>
      </c>
      <c r="C72" s="111" t="str">
        <f>HLOOKUP(Stats!$B$5,Professions!$E$2:$DD$57,12,0)</f>
        <v>3/7</v>
      </c>
      <c r="D72" s="111" t="str">
        <f>IF(Stats!$B$6="","",HLOOKUP(Stats!$B$6,Professions!$E$2:$DD$57,12,0))</f>
        <v>2/6</v>
      </c>
      <c r="E72" s="111"/>
      <c r="F72" s="111">
        <f>VLOOKUP(E72,Professions!$DQ$1:$DX$203,3)</f>
        <v>-15</v>
      </c>
      <c r="G72" s="111" t="s">
        <v>409</v>
      </c>
      <c r="H72" s="111">
        <f>Stats!$I$20</f>
        <v>2</v>
      </c>
      <c r="I72" s="111"/>
      <c r="J72" s="111"/>
      <c r="K72" s="197">
        <f t="shared" si="7"/>
        <v>-11.01</v>
      </c>
      <c r="M72" s="304"/>
      <c r="O72" s="80">
        <f t="shared" si="6"/>
        <v>0</v>
      </c>
      <c r="P72" s="115"/>
      <c r="Q72" s="305"/>
      <c r="Y72" s="80">
        <v>71</v>
      </c>
    </row>
    <row r="73" spans="1:25" ht="12.75" customHeight="1" x14ac:dyDescent="0.2">
      <c r="A73" s="111"/>
      <c r="B73" s="246" t="s">
        <v>480</v>
      </c>
      <c r="C73" s="111" t="str">
        <f>HLOOKUP(Stats!$B$5,Professions!$E$2:$DD$57,12,0)</f>
        <v>3/7</v>
      </c>
      <c r="D73" s="111" t="str">
        <f>IF(Stats!$B$6="","",HLOOKUP(Stats!$B$6,Professions!$E$2:$DD$57,12,0))</f>
        <v>2/6</v>
      </c>
      <c r="E73" s="111"/>
      <c r="F73" s="111">
        <f>VLOOKUP(E73,Professions!$DQ$1:$DX$203,3)</f>
        <v>-15</v>
      </c>
      <c r="G73" s="111" t="s">
        <v>409</v>
      </c>
      <c r="H73" s="111">
        <f>Stats!$I$20</f>
        <v>2</v>
      </c>
      <c r="I73" s="111"/>
      <c r="J73" s="111"/>
      <c r="K73" s="197">
        <f t="shared" si="7"/>
        <v>-11.01</v>
      </c>
      <c r="M73" s="304"/>
      <c r="O73" s="80">
        <f t="shared" si="6"/>
        <v>0</v>
      </c>
      <c r="P73" s="115"/>
      <c r="Q73" s="305"/>
      <c r="Y73" s="80">
        <v>72</v>
      </c>
    </row>
    <row r="74" spans="1:25" ht="12.75" customHeight="1" x14ac:dyDescent="0.2">
      <c r="A74" s="111"/>
      <c r="B74" s="246" t="s">
        <v>481</v>
      </c>
      <c r="C74" s="111" t="str">
        <f>HLOOKUP(Stats!$B$5,Professions!$E$2:$DD$57,12,0)</f>
        <v>3/7</v>
      </c>
      <c r="D74" s="111" t="str">
        <f>IF(Stats!$B$6="","",HLOOKUP(Stats!$B$6,Professions!$E$2:$DD$57,12,0))</f>
        <v>2/6</v>
      </c>
      <c r="E74" s="111"/>
      <c r="F74" s="111">
        <f>VLOOKUP(E74,Professions!$DQ$1:$DX$203,3)</f>
        <v>-15</v>
      </c>
      <c r="G74" s="111" t="s">
        <v>409</v>
      </c>
      <c r="H74" s="111">
        <f>Stats!$I$20</f>
        <v>2</v>
      </c>
      <c r="I74" s="111"/>
      <c r="J74" s="111"/>
      <c r="K74" s="197">
        <f t="shared" si="7"/>
        <v>-11.01</v>
      </c>
      <c r="M74" s="304"/>
      <c r="O74" s="80">
        <f t="shared" si="6"/>
        <v>0</v>
      </c>
      <c r="P74" s="115"/>
      <c r="Q74" s="305"/>
      <c r="Y74" s="80">
        <v>73</v>
      </c>
    </row>
    <row r="75" spans="1:25" ht="12.75" customHeight="1" x14ac:dyDescent="0.2">
      <c r="A75" s="111"/>
      <c r="B75" s="246" t="s">
        <v>482</v>
      </c>
      <c r="C75" s="111" t="str">
        <f>HLOOKUP(Stats!$B$5,Professions!$E$2:$DD$57,12,0)</f>
        <v>3/7</v>
      </c>
      <c r="D75" s="111" t="str">
        <f>IF(Stats!$B$6="","",HLOOKUP(Stats!$B$6,Professions!$E$2:$DD$57,12,0))</f>
        <v>2/6</v>
      </c>
      <c r="E75" s="111"/>
      <c r="F75" s="111">
        <f>VLOOKUP(E75,Professions!$DQ$1:$DX$203,3)</f>
        <v>-15</v>
      </c>
      <c r="G75" s="111" t="s">
        <v>409</v>
      </c>
      <c r="H75" s="111">
        <f>Stats!$I$20</f>
        <v>2</v>
      </c>
      <c r="I75" s="111"/>
      <c r="J75" s="111"/>
      <c r="K75" s="197">
        <f t="shared" si="7"/>
        <v>-11.01</v>
      </c>
      <c r="M75" s="304"/>
      <c r="O75" s="80">
        <f t="shared" si="6"/>
        <v>0</v>
      </c>
      <c r="P75" s="115"/>
      <c r="Q75" s="305"/>
      <c r="Y75" s="80">
        <v>74</v>
      </c>
    </row>
    <row r="76" spans="1:25" ht="12.75" customHeight="1" x14ac:dyDescent="0.2">
      <c r="A76" s="111"/>
      <c r="B76" s="246" t="s">
        <v>483</v>
      </c>
      <c r="C76" s="111" t="str">
        <f>HLOOKUP(Stats!$B$5,Professions!$E$2:$DD$57,12,0)</f>
        <v>3/7</v>
      </c>
      <c r="D76" s="111" t="str">
        <f>IF(Stats!$B$6="","",HLOOKUP(Stats!$B$6,Professions!$E$2:$DD$57,12,0))</f>
        <v>2/6</v>
      </c>
      <c r="E76" s="111"/>
      <c r="F76" s="111">
        <f>VLOOKUP(E76,Professions!$DQ$1:$DX$203,3)</f>
        <v>-15</v>
      </c>
      <c r="G76" s="111" t="s">
        <v>445</v>
      </c>
      <c r="H76" s="111">
        <f>Stats!$I$22</f>
        <v>10</v>
      </c>
      <c r="I76" s="111"/>
      <c r="J76" s="111"/>
      <c r="K76" s="197">
        <f t="shared" si="7"/>
        <v>-3.01</v>
      </c>
      <c r="M76" s="304"/>
      <c r="O76" s="80">
        <f t="shared" si="6"/>
        <v>0</v>
      </c>
      <c r="P76" s="115"/>
      <c r="Q76" s="305"/>
      <c r="Y76" s="80">
        <v>75</v>
      </c>
    </row>
    <row r="77" spans="1:25" ht="12.75" customHeight="1" x14ac:dyDescent="0.2">
      <c r="A77" s="111"/>
      <c r="B77" s="246" t="s">
        <v>484</v>
      </c>
      <c r="C77" s="111" t="str">
        <f>HLOOKUP(Stats!$B$5,Professions!$E$2:$DD$57,12,0)</f>
        <v>3/7</v>
      </c>
      <c r="D77" s="111" t="str">
        <f>IF(Stats!$B$6="","",HLOOKUP(Stats!$B$6,Professions!$E$2:$DD$57,12,0))</f>
        <v>2/6</v>
      </c>
      <c r="E77" s="111"/>
      <c r="F77" s="111">
        <f>VLOOKUP(E77,Professions!$DQ$1:$DX$203,3)</f>
        <v>-15</v>
      </c>
      <c r="G77" s="111" t="s">
        <v>445</v>
      </c>
      <c r="H77" s="111">
        <f>Stats!$I$22</f>
        <v>10</v>
      </c>
      <c r="I77" s="111"/>
      <c r="J77" s="111"/>
      <c r="K77" s="197">
        <f t="shared" si="7"/>
        <v>-3.01</v>
      </c>
      <c r="M77" s="304"/>
      <c r="O77" s="80">
        <f t="shared" si="6"/>
        <v>0</v>
      </c>
      <c r="P77" s="115"/>
      <c r="Q77" s="305"/>
      <c r="Y77" s="80">
        <v>76</v>
      </c>
    </row>
    <row r="78" spans="1:25" ht="12.75" customHeight="1" x14ac:dyDescent="0.2">
      <c r="A78" s="330" t="s">
        <v>476</v>
      </c>
      <c r="B78" s="331" t="s">
        <v>485</v>
      </c>
      <c r="C78" s="111" t="str">
        <f>HLOOKUP(Stats!$B$5,Professions!$E$2:$DD$57,12,0)</f>
        <v>3/7</v>
      </c>
      <c r="D78" s="111" t="str">
        <f>IF(Stats!$B$6="","",HLOOKUP(Stats!$B$6,Professions!$E$2:$DD$57,12,0))</f>
        <v>2/6</v>
      </c>
      <c r="E78" s="111"/>
      <c r="F78" s="111">
        <f>VLOOKUP(E78,Professions!$DQ$1:$DX$203,3)</f>
        <v>-15</v>
      </c>
      <c r="G78" s="111" t="s">
        <v>409</v>
      </c>
      <c r="H78" s="111">
        <f>Stats!$I$20</f>
        <v>2</v>
      </c>
      <c r="I78" s="111"/>
      <c r="J78" s="111"/>
      <c r="K78" s="197">
        <f t="shared" si="7"/>
        <v>-11.01</v>
      </c>
      <c r="M78" s="304"/>
      <c r="O78" s="80">
        <f t="shared" si="6"/>
        <v>0</v>
      </c>
      <c r="P78" s="115"/>
      <c r="Q78" s="305"/>
      <c r="Y78" s="80">
        <v>77</v>
      </c>
    </row>
    <row r="79" spans="1:25" ht="12.75" customHeight="1" x14ac:dyDescent="0.2">
      <c r="A79" s="148"/>
      <c r="B79" s="309" t="s">
        <v>486</v>
      </c>
      <c r="C79" s="111" t="str">
        <f>HLOOKUP(Stats!$B$5,Professions!$E$2:$DD$57,12,0)</f>
        <v>3/7</v>
      </c>
      <c r="D79" s="111" t="str">
        <f>IF(Stats!$B$6="","",HLOOKUP(Stats!$B$6,Professions!$E$2:$DD$57,12,0))</f>
        <v>2/6</v>
      </c>
      <c r="E79" s="111"/>
      <c r="F79" s="111">
        <f>VLOOKUP(E79,Professions!$DQ$1:$DX$203,3)</f>
        <v>-15</v>
      </c>
      <c r="G79" s="111" t="s">
        <v>462</v>
      </c>
      <c r="H79" s="111">
        <f>Stats!$I$21</f>
        <v>5</v>
      </c>
      <c r="I79" s="111"/>
      <c r="J79" s="111"/>
      <c r="K79" s="197">
        <f t="shared" si="7"/>
        <v>-8.01</v>
      </c>
      <c r="M79" s="304"/>
      <c r="O79" s="80">
        <f t="shared" si="6"/>
        <v>0</v>
      </c>
      <c r="P79" s="115"/>
      <c r="Q79" s="305"/>
      <c r="Y79" s="80">
        <v>78</v>
      </c>
    </row>
    <row r="80" spans="1:25" ht="12.75" customHeight="1" x14ac:dyDescent="0.2">
      <c r="A80" s="244" t="s">
        <v>487</v>
      </c>
      <c r="B80" s="204"/>
      <c r="C80" s="226"/>
      <c r="D80" s="226"/>
      <c r="E80" s="302"/>
      <c r="F80" s="302"/>
      <c r="G80" s="302" t="s">
        <v>488</v>
      </c>
      <c r="H80" s="302">
        <f>Stats!I13+Stats!I15</f>
        <v>9</v>
      </c>
      <c r="I80" s="303">
        <f>IF(Stats!$M$4="",HLOOKUP(Stats!$B$5,Professions!$F$59:$DD$114,Professions!$DF$14,0),((HLOOKUP(Stats!$B$5,Professions!$F$59:$DD$114,Professions!$DF$14,0)+HLOOKUP(Stats!$B$6,Professions!$F$59:$DD$114,Professions!$DF$14,0))/2-0.01))</f>
        <v>4.99</v>
      </c>
      <c r="J80" s="302">
        <v>10</v>
      </c>
      <c r="K80" s="303">
        <f>F80+H80+I80+J80</f>
        <v>23.990000000000002</v>
      </c>
      <c r="M80" s="304"/>
      <c r="O80" s="80">
        <f t="shared" si="6"/>
        <v>0</v>
      </c>
      <c r="P80" s="115"/>
      <c r="Q80" s="305"/>
      <c r="Y80" s="80">
        <v>79</v>
      </c>
    </row>
    <row r="81" spans="1:25" ht="12.75" customHeight="1" x14ac:dyDescent="0.2">
      <c r="A81" s="175"/>
      <c r="B81" s="308" t="s">
        <v>487</v>
      </c>
      <c r="C81" s="111" t="str">
        <f>HLOOKUP(Stats!$B$5,Professions!$E$2:$DD$57,13,0)</f>
        <v>15</v>
      </c>
      <c r="D81" s="111" t="str">
        <f>IF(Stats!$B$6="","",HLOOKUP(Stats!$B$6,Professions!$E$2:$DD$57,13,0))</f>
        <v>2/5</v>
      </c>
      <c r="E81" s="111"/>
      <c r="F81" s="111">
        <f>VLOOKUP(E81,Professions!$DQ$1:$DX$203,6)</f>
        <v>0</v>
      </c>
      <c r="G81" s="111" t="s">
        <v>426</v>
      </c>
      <c r="H81" s="111">
        <f>Stats!$I$13</f>
        <v>2</v>
      </c>
      <c r="I81" s="111"/>
      <c r="J81" s="111"/>
      <c r="K81" s="197">
        <f>F81+H81+I81+J81+K80</f>
        <v>25.990000000000002</v>
      </c>
      <c r="M81" s="304"/>
      <c r="O81" s="80">
        <f t="shared" si="6"/>
        <v>0</v>
      </c>
      <c r="P81" s="115"/>
      <c r="Q81" s="305">
        <f>HLOOKUP(Stats!$B$2,Races!$AK$4:$EH$50,Races!EH18,0)</f>
        <v>1</v>
      </c>
      <c r="Y81" s="80">
        <v>80</v>
      </c>
    </row>
    <row r="82" spans="1:25" ht="12.75" customHeight="1" x14ac:dyDescent="0.2">
      <c r="A82" s="244" t="s">
        <v>489</v>
      </c>
      <c r="B82" s="204"/>
      <c r="C82" s="226"/>
      <c r="D82" s="226"/>
      <c r="E82" s="302"/>
      <c r="F82" s="302"/>
      <c r="G82" s="302" t="s">
        <v>436</v>
      </c>
      <c r="H82" s="302">
        <f>Stats!I14+Stats!I19</f>
        <v>15</v>
      </c>
      <c r="I82" s="303">
        <f>IF(Stats!$M$4="",HLOOKUP(Stats!$B$5,Professions!$F$59:$DD$114,Professions!$DF$15,0),((HLOOKUP(Stats!$B$5,Professions!$F$59:$DD$114,Professions!$DF$15,0)+HLOOKUP(Stats!$B$6,Professions!$F$59:$DD$114,Professions!$DF$15,0))/2-0.01))</f>
        <v>4.99</v>
      </c>
      <c r="J82" s="302"/>
      <c r="K82" s="303">
        <f>F82+H82+I82+J82</f>
        <v>19.990000000000002</v>
      </c>
      <c r="M82" s="304"/>
      <c r="O82" s="80">
        <f t="shared" si="6"/>
        <v>0</v>
      </c>
      <c r="P82" s="115"/>
      <c r="Q82" s="305">
        <f>HLOOKUP(Stats!$B$2,Races!$AK$4:$EH$50,Races!EH19,0)</f>
        <v>0</v>
      </c>
      <c r="Y82" s="80">
        <v>81</v>
      </c>
    </row>
    <row r="83" spans="1:25" ht="12.75" customHeight="1" x14ac:dyDescent="0.2">
      <c r="A83" s="332" t="s">
        <v>476</v>
      </c>
      <c r="B83" s="333" t="s">
        <v>490</v>
      </c>
      <c r="C83" s="111" t="str">
        <f>HLOOKUP(Stats!$B$5,Professions!$E$2:$DD$57,14,0)</f>
        <v>18</v>
      </c>
      <c r="D83" s="111" t="str">
        <f>IF(Stats!$B$6="","",HLOOKUP(Stats!$B$6,Professions!$E$2:$DD$57,14,0))</f>
        <v>3/9</v>
      </c>
      <c r="E83" s="111"/>
      <c r="F83" s="111">
        <f>VLOOKUP(E83,Professions!$DQ$1:$DX$203,5)</f>
        <v>-30</v>
      </c>
      <c r="G83" s="111" t="s">
        <v>220</v>
      </c>
      <c r="H83" s="111">
        <f>Stats!$I$15</f>
        <v>7</v>
      </c>
      <c r="I83" s="111"/>
      <c r="J83" s="111"/>
      <c r="K83" s="197">
        <f t="shared" ref="K83:K93" si="8">F83+H83+I83+J83+$K$82</f>
        <v>-3.009999999999998</v>
      </c>
      <c r="M83" s="304"/>
      <c r="O83" s="80">
        <f t="shared" si="6"/>
        <v>0</v>
      </c>
      <c r="P83" s="115"/>
      <c r="Q83" s="305"/>
      <c r="Y83" s="80">
        <v>82</v>
      </c>
    </row>
    <row r="84" spans="1:25" ht="12.75" customHeight="1" x14ac:dyDescent="0.2">
      <c r="A84" s="111"/>
      <c r="B84" s="246" t="s">
        <v>491</v>
      </c>
      <c r="C84" s="111" t="str">
        <f>HLOOKUP(Stats!$B$5,Professions!$E$2:$DD$57,14,0)</f>
        <v>18</v>
      </c>
      <c r="D84" s="111" t="str">
        <f>IF(Stats!$B$6="","",HLOOKUP(Stats!$B$6,Professions!$E$2:$DD$57,14,0))</f>
        <v>3/9</v>
      </c>
      <c r="E84" s="111"/>
      <c r="F84" s="111">
        <f>VLOOKUP(E84,Professions!$DQ$1:$DX$203,5)</f>
        <v>-30</v>
      </c>
      <c r="G84" s="111" t="s">
        <v>462</v>
      </c>
      <c r="H84" s="111">
        <f>Stats!$I$21</f>
        <v>5</v>
      </c>
      <c r="I84" s="111"/>
      <c r="J84" s="111"/>
      <c r="K84" s="197">
        <f t="shared" si="8"/>
        <v>-5.009999999999998</v>
      </c>
      <c r="M84" s="304"/>
      <c r="O84" s="80">
        <f t="shared" si="6"/>
        <v>0</v>
      </c>
      <c r="P84" s="115"/>
      <c r="Q84" s="305">
        <f>HLOOKUP(Stats!$B$2,Races!$AK$4:$EH$50,Races!EH20,0)</f>
        <v>0</v>
      </c>
      <c r="Y84" s="80">
        <v>83</v>
      </c>
    </row>
    <row r="85" spans="1:25" ht="12.75" customHeight="1" x14ac:dyDescent="0.2">
      <c r="A85" s="111"/>
      <c r="B85" s="246" t="s">
        <v>492</v>
      </c>
      <c r="C85" s="111" t="str">
        <f>HLOOKUP(Stats!$B$5,Professions!$E$2:$DD$57,14,0)</f>
        <v>18</v>
      </c>
      <c r="D85" s="111" t="str">
        <f>IF(Stats!$B$6="","",HLOOKUP(Stats!$B$6,Professions!$E$2:$DD$57,14,0))</f>
        <v>3/9</v>
      </c>
      <c r="E85" s="111"/>
      <c r="F85" s="111">
        <f>VLOOKUP(E85,Professions!$DQ$1:$DX$203,5)</f>
        <v>-30</v>
      </c>
      <c r="G85" s="111" t="s">
        <v>220</v>
      </c>
      <c r="H85" s="111">
        <f>Stats!$I$15</f>
        <v>7</v>
      </c>
      <c r="I85" s="111"/>
      <c r="J85" s="111"/>
      <c r="K85" s="197">
        <f t="shared" si="8"/>
        <v>-3.009999999999998</v>
      </c>
      <c r="M85" s="304"/>
      <c r="O85" s="80">
        <f t="shared" si="6"/>
        <v>0</v>
      </c>
      <c r="P85" s="115"/>
      <c r="Q85" s="305"/>
      <c r="Y85" s="80">
        <v>84</v>
      </c>
    </row>
    <row r="86" spans="1:25" ht="12.75" customHeight="1" x14ac:dyDescent="0.2">
      <c r="A86" s="111"/>
      <c r="B86" s="246" t="s">
        <v>493</v>
      </c>
      <c r="C86" s="111" t="str">
        <f>HLOOKUP(Stats!$B$5,Professions!$E$2:$DD$57,14,0)</f>
        <v>18</v>
      </c>
      <c r="D86" s="111" t="str">
        <f>IF(Stats!$B$6="","",HLOOKUP(Stats!$B$6,Professions!$E$2:$DD$57,14,0))</f>
        <v>3/9</v>
      </c>
      <c r="E86" s="111"/>
      <c r="F86" s="111">
        <f>VLOOKUP(E86,Professions!$DQ$1:$DX$203,5)</f>
        <v>-30</v>
      </c>
      <c r="G86" s="111" t="s">
        <v>409</v>
      </c>
      <c r="H86" s="111">
        <f>Stats!$I$20</f>
        <v>2</v>
      </c>
      <c r="I86" s="111"/>
      <c r="J86" s="111"/>
      <c r="K86" s="197">
        <f t="shared" si="8"/>
        <v>-8.009999999999998</v>
      </c>
      <c r="M86" s="304"/>
      <c r="O86" s="80">
        <f t="shared" si="6"/>
        <v>0</v>
      </c>
      <c r="P86" s="115"/>
      <c r="Q86" s="305"/>
      <c r="Y86" s="80">
        <v>85</v>
      </c>
    </row>
    <row r="87" spans="1:25" ht="12.75" customHeight="1" x14ac:dyDescent="0.2">
      <c r="A87" s="111"/>
      <c r="B87" s="246" t="s">
        <v>3735</v>
      </c>
      <c r="C87" s="111" t="str">
        <f>HLOOKUP(Stats!$B$5,Professions!$E$2:$DD$57,14,0)</f>
        <v>18</v>
      </c>
      <c r="D87" s="111" t="str">
        <f>IF(Stats!$B$6="","",HLOOKUP(Stats!$B$6,Professions!$E$2:$DD$57,14,0))</f>
        <v>3/9</v>
      </c>
      <c r="E87" s="111"/>
      <c r="F87" s="111">
        <f>VLOOKUP(E87,Professions!$DQ$1:$DX$203,5)</f>
        <v>-30</v>
      </c>
      <c r="G87" s="111" t="s">
        <v>409</v>
      </c>
      <c r="H87" s="111">
        <f>Stats!$I$20</f>
        <v>2</v>
      </c>
      <c r="I87" s="111"/>
      <c r="J87" s="111"/>
      <c r="K87" s="197">
        <f t="shared" ref="K87" si="9">F87+H87+I87+J87+$K$82</f>
        <v>-8.009999999999998</v>
      </c>
      <c r="M87" s="304"/>
      <c r="P87" s="115"/>
      <c r="Q87" s="305"/>
    </row>
    <row r="88" spans="1:25" ht="12.75" customHeight="1" x14ac:dyDescent="0.2">
      <c r="A88" s="111"/>
      <c r="B88" s="246" t="s">
        <v>494</v>
      </c>
      <c r="C88" s="111" t="str">
        <f>HLOOKUP(Stats!$B$5,Professions!$E$2:$DD$57,14,0)</f>
        <v>18</v>
      </c>
      <c r="D88" s="111" t="str">
        <f>IF(Stats!$B$6="","",HLOOKUP(Stats!$B$6,Professions!$E$2:$DD$57,14,0))</f>
        <v>3/9</v>
      </c>
      <c r="E88" s="111"/>
      <c r="F88" s="111">
        <f>VLOOKUP(E88,Professions!$DQ$1:$DX$203,5)</f>
        <v>-30</v>
      </c>
      <c r="G88" s="111" t="s">
        <v>220</v>
      </c>
      <c r="H88" s="111">
        <f>Stats!$I$15</f>
        <v>7</v>
      </c>
      <c r="I88" s="111"/>
      <c r="J88" s="111"/>
      <c r="K88" s="197">
        <f t="shared" si="8"/>
        <v>-3.009999999999998</v>
      </c>
      <c r="M88" s="304"/>
      <c r="O88" s="80">
        <f t="shared" si="6"/>
        <v>0</v>
      </c>
      <c r="P88" s="115"/>
      <c r="Q88" s="305"/>
      <c r="Y88" s="80">
        <v>86</v>
      </c>
    </row>
    <row r="89" spans="1:25" ht="12.75" customHeight="1" x14ac:dyDescent="0.2">
      <c r="A89" s="111"/>
      <c r="B89" s="246" t="s">
        <v>495</v>
      </c>
      <c r="C89" s="111" t="str">
        <f>HLOOKUP(Stats!$B$5,Professions!$E$2:$DD$57,14,0)</f>
        <v>18</v>
      </c>
      <c r="D89" s="111" t="str">
        <f>IF(Stats!$B$6="","",HLOOKUP(Stats!$B$6,Professions!$E$2:$DD$57,14,0))</f>
        <v>3/9</v>
      </c>
      <c r="E89" s="111"/>
      <c r="F89" s="111">
        <f>VLOOKUP(E89,Professions!$DQ$1:$DX$203,5)</f>
        <v>-30</v>
      </c>
      <c r="G89" s="111" t="s">
        <v>409</v>
      </c>
      <c r="H89" s="111">
        <f>Stats!$I$20</f>
        <v>2</v>
      </c>
      <c r="I89" s="111"/>
      <c r="J89" s="111"/>
      <c r="K89" s="197">
        <f t="shared" si="8"/>
        <v>-8.009999999999998</v>
      </c>
      <c r="M89" s="304"/>
      <c r="O89" s="80">
        <f t="shared" si="6"/>
        <v>0</v>
      </c>
      <c r="P89" s="115"/>
      <c r="Q89" s="305"/>
      <c r="Y89" s="80">
        <v>87</v>
      </c>
    </row>
    <row r="90" spans="1:25" ht="12.75" customHeight="1" x14ac:dyDescent="0.2">
      <c r="A90" s="330" t="s">
        <v>476</v>
      </c>
      <c r="B90" s="331" t="s">
        <v>496</v>
      </c>
      <c r="C90" s="111" t="str">
        <f>HLOOKUP(Stats!$B$5,Professions!$E$2:$DD$57,14,0)</f>
        <v>18</v>
      </c>
      <c r="D90" s="111" t="str">
        <f>IF(Stats!$B$6="","",HLOOKUP(Stats!$B$6,Professions!$E$2:$DD$57,14,0))</f>
        <v>3/9</v>
      </c>
      <c r="E90" s="111"/>
      <c r="F90" s="111">
        <f>VLOOKUP(E90,Professions!$DQ$1:$DX$203,5)</f>
        <v>-30</v>
      </c>
      <c r="G90" s="111" t="s">
        <v>389</v>
      </c>
      <c r="H90" s="111">
        <f>Stats!$I$14</f>
        <v>7</v>
      </c>
      <c r="I90" s="111"/>
      <c r="J90" s="111"/>
      <c r="K90" s="197">
        <f t="shared" si="8"/>
        <v>-3.009999999999998</v>
      </c>
      <c r="M90" s="304"/>
      <c r="O90" s="80">
        <f t="shared" si="6"/>
        <v>0</v>
      </c>
      <c r="P90" s="115"/>
      <c r="Q90" s="305"/>
      <c r="Y90" s="80">
        <v>88</v>
      </c>
    </row>
    <row r="91" spans="1:25" ht="12.75" customHeight="1" x14ac:dyDescent="0.2">
      <c r="A91" s="111"/>
      <c r="B91" s="246" t="s">
        <v>497</v>
      </c>
      <c r="C91" s="111" t="str">
        <f>HLOOKUP(Stats!$B$5,Professions!$E$2:$DD$57,14,0)</f>
        <v>18</v>
      </c>
      <c r="D91" s="111" t="str">
        <f>IF(Stats!$B$6="","",HLOOKUP(Stats!$B$6,Professions!$E$2:$DD$57,14,0))</f>
        <v>3/9</v>
      </c>
      <c r="E91" s="111"/>
      <c r="F91" s="111">
        <f>VLOOKUP(E91,Professions!$DQ$1:$DX$203,5)</f>
        <v>-30</v>
      </c>
      <c r="G91" s="111" t="s">
        <v>220</v>
      </c>
      <c r="H91" s="111">
        <f>Stats!$I$15</f>
        <v>7</v>
      </c>
      <c r="I91" s="111"/>
      <c r="J91" s="111"/>
      <c r="K91" s="197">
        <f t="shared" si="8"/>
        <v>-3.009999999999998</v>
      </c>
      <c r="M91" s="304"/>
      <c r="O91" s="80">
        <f t="shared" si="6"/>
        <v>0</v>
      </c>
      <c r="P91" s="115"/>
      <c r="Q91" s="305"/>
      <c r="Y91" s="80">
        <v>89</v>
      </c>
    </row>
    <row r="92" spans="1:25" ht="12.75" customHeight="1" x14ac:dyDescent="0.2">
      <c r="A92" s="111"/>
      <c r="B92" s="246" t="s">
        <v>497</v>
      </c>
      <c r="C92" s="111" t="str">
        <f>HLOOKUP(Stats!$B$5,Professions!$E$2:$DD$57,14,0)</f>
        <v>18</v>
      </c>
      <c r="D92" s="111" t="str">
        <f>IF(Stats!$B$6="","",HLOOKUP(Stats!$B$6,Professions!$E$2:$DD$57,14,0))</f>
        <v>3/9</v>
      </c>
      <c r="E92" s="111"/>
      <c r="F92" s="111">
        <f>VLOOKUP(E92,Professions!$DQ$1:$DX$203,5)</f>
        <v>-30</v>
      </c>
      <c r="G92" s="111" t="s">
        <v>220</v>
      </c>
      <c r="H92" s="111">
        <f>Stats!$I$15</f>
        <v>7</v>
      </c>
      <c r="I92" s="111"/>
      <c r="J92" s="111"/>
      <c r="K92" s="197">
        <f t="shared" si="8"/>
        <v>-3.009999999999998</v>
      </c>
      <c r="M92" s="304"/>
      <c r="O92" s="80">
        <f t="shared" si="6"/>
        <v>0</v>
      </c>
      <c r="P92" s="115"/>
      <c r="Q92" s="305"/>
      <c r="Y92" s="80">
        <v>90</v>
      </c>
    </row>
    <row r="93" spans="1:25" ht="12.75" customHeight="1" x14ac:dyDescent="0.2">
      <c r="A93" s="148"/>
      <c r="B93" s="309" t="s">
        <v>497</v>
      </c>
      <c r="C93" s="111" t="str">
        <f>HLOOKUP(Stats!$B$5,Professions!$E$2:$DD$57,14,0)</f>
        <v>18</v>
      </c>
      <c r="D93" s="111" t="str">
        <f>IF(Stats!$B$6="","",HLOOKUP(Stats!$B$6,Professions!$E$2:$DD$57,14,0))</f>
        <v>3/9</v>
      </c>
      <c r="E93" s="111"/>
      <c r="F93" s="111">
        <f>VLOOKUP(E93,Professions!$DQ$1:$DX$203,5)</f>
        <v>-30</v>
      </c>
      <c r="G93" s="111" t="s">
        <v>220</v>
      </c>
      <c r="H93" s="111">
        <f>Stats!$I$15</f>
        <v>7</v>
      </c>
      <c r="I93" s="111"/>
      <c r="J93" s="111"/>
      <c r="K93" s="197">
        <f t="shared" si="8"/>
        <v>-3.009999999999998</v>
      </c>
      <c r="M93" s="304"/>
      <c r="O93" s="80">
        <f t="shared" si="6"/>
        <v>0</v>
      </c>
      <c r="P93" s="115"/>
      <c r="Q93" s="305"/>
      <c r="Y93" s="80">
        <v>91</v>
      </c>
    </row>
    <row r="94" spans="1:25" ht="12.75" customHeight="1" x14ac:dyDescent="0.2">
      <c r="A94" s="244" t="s">
        <v>498</v>
      </c>
      <c r="B94" s="204"/>
      <c r="C94" s="226" t="str">
        <f>HLOOKUP(Stats!$B$5,Professions!$E$2:$DD$57,15,0)</f>
        <v>2/2/2</v>
      </c>
      <c r="D94" s="226" t="str">
        <f>IF(Stats!$B$6="","",HLOOKUP(Stats!$B$6,Professions!$E$2:$DD$57,15,0))</f>
        <v>3/3/3</v>
      </c>
      <c r="E94" s="302"/>
      <c r="F94" s="302">
        <f>VLOOKUP(E94,Professions!$DQ$1:$DX$203,2)</f>
        <v>-15</v>
      </c>
      <c r="G94" s="302" t="s">
        <v>499</v>
      </c>
      <c r="H94" s="302">
        <f>Stats!$I$17+Stats!$I$16</f>
        <v>0</v>
      </c>
      <c r="I94" s="303">
        <f>IF(Stats!$M$4="",HLOOKUP(Stats!$B$5,Professions!$F$59:$DD$114,Professions!$DF$16,0),((HLOOKUP(Stats!$B$5,Professions!$F$59:$DD$114,Professions!$DF$16,0)+HLOOKUP(Stats!$B$6,Professions!$F$59:$DD$114,Professions!$DF$16,0))/2-0.01))</f>
        <v>-0.01</v>
      </c>
      <c r="J94" s="302"/>
      <c r="K94" s="303">
        <f>F94+H94+I94+J94</f>
        <v>-15.01</v>
      </c>
      <c r="M94" s="304"/>
      <c r="O94" s="80">
        <f t="shared" si="6"/>
        <v>0</v>
      </c>
      <c r="P94" s="115"/>
      <c r="Q94" s="305">
        <f>HLOOKUP(Stats!$B$2,Races!$AK$4:$EH$50,Races!EH21,0)</f>
        <v>1</v>
      </c>
      <c r="Y94" s="80">
        <v>92</v>
      </c>
    </row>
    <row r="95" spans="1:25" ht="12.75" customHeight="1" x14ac:dyDescent="0.2">
      <c r="A95" s="257" t="s">
        <v>500</v>
      </c>
      <c r="B95" s="334" t="str">
        <f>HLOOKUP(Stats!$B$2,Taulukko14[[Dragonborn]:[Hakua varten]],Races!EH125,0)</f>
        <v>Common</v>
      </c>
      <c r="C95" s="111" t="str">
        <f>HLOOKUP(Stats!$B$5,Professions!$E$2:$DD$57,15,0)</f>
        <v>2/2/2</v>
      </c>
      <c r="D95" s="111" t="str">
        <f>IF(Stats!$B$6="","",HLOOKUP(Stats!$B$6,Professions!$E$2:$DD$57,15,0))</f>
        <v>3/3/3</v>
      </c>
      <c r="E95" s="111">
        <f>HLOOKUP(Stats!$B$2,Taulukko15[[8]:[Hakua varten]],Races!EH137,0)</f>
        <v>7</v>
      </c>
      <c r="F95" s="111">
        <f>VLOOKUP(E95,Professions!$DQ$1:$DX$203,3)</f>
        <v>21</v>
      </c>
      <c r="G95" s="111" t="s">
        <v>462</v>
      </c>
      <c r="H95" s="111">
        <f>Stats!$I$21</f>
        <v>5</v>
      </c>
      <c r="I95" s="111"/>
      <c r="J95" s="111"/>
      <c r="K95" s="197">
        <f t="shared" ref="K95:K109" si="10">F95+H95+I95+J95+$K$94</f>
        <v>10.99</v>
      </c>
      <c r="M95" s="304"/>
      <c r="O95" s="80">
        <f t="shared" si="6"/>
        <v>7</v>
      </c>
      <c r="P95" s="115"/>
      <c r="Q95" s="305">
        <f t="shared" ref="Q95:Q103" si="11">E95</f>
        <v>7</v>
      </c>
      <c r="Y95" s="80">
        <v>93</v>
      </c>
    </row>
    <row r="96" spans="1:25" ht="12.75" customHeight="1" x14ac:dyDescent="0.2">
      <c r="A96" s="246" t="s">
        <v>501</v>
      </c>
      <c r="B96" s="334" t="str">
        <f>HLOOKUP(Stats!$B$2,Taulukko14[[Dragonborn]:[Hakua varten]],Races!EH126,0)</f>
        <v>Common</v>
      </c>
      <c r="C96" s="111" t="str">
        <f>HLOOKUP(Stats!$B$5,Professions!$E$2:$DD$57,15,0)</f>
        <v>2/2/2</v>
      </c>
      <c r="D96" s="111" t="str">
        <f>IF(Stats!$B$6="","",HLOOKUP(Stats!$B$6,Professions!$E$2:$DD$57,15,0))</f>
        <v>3/3/3</v>
      </c>
      <c r="E96" s="111">
        <f>HLOOKUP(Stats!$B$2,Taulukko15[[8]:[Hakua varten]],Races!EH138,0)</f>
        <v>7</v>
      </c>
      <c r="F96" s="111">
        <f>VLOOKUP(E96,Professions!$DQ$1:$DX$203,3)</f>
        <v>21</v>
      </c>
      <c r="G96" s="111" t="s">
        <v>462</v>
      </c>
      <c r="H96" s="111">
        <f>Stats!$I$21</f>
        <v>5</v>
      </c>
      <c r="I96" s="111"/>
      <c r="J96" s="111"/>
      <c r="K96" s="197">
        <f t="shared" si="10"/>
        <v>10.99</v>
      </c>
      <c r="M96" s="304"/>
      <c r="O96" s="80">
        <f t="shared" si="6"/>
        <v>7</v>
      </c>
      <c r="P96" s="115"/>
      <c r="Q96" s="305">
        <f t="shared" si="11"/>
        <v>7</v>
      </c>
      <c r="Y96" s="80">
        <v>94</v>
      </c>
    </row>
    <row r="97" spans="1:25" ht="12.75" customHeight="1" x14ac:dyDescent="0.2">
      <c r="A97" s="246" t="s">
        <v>500</v>
      </c>
      <c r="B97" s="334" t="str">
        <f>HLOOKUP(Stats!$B$2,Taulukko14[[Dragonborn]:[Hakua varten]],Races!EH127,0)</f>
        <v>Rashemi</v>
      </c>
      <c r="C97" s="111" t="str">
        <f>HLOOKUP(Stats!$B$5,Professions!$E$2:$DD$57,15,0)</f>
        <v>2/2/2</v>
      </c>
      <c r="D97" s="111" t="str">
        <f>IF(Stats!$B$6="","",HLOOKUP(Stats!$B$6,Professions!$E$2:$DD$57,15,0))</f>
        <v>3/3/3</v>
      </c>
      <c r="E97" s="111">
        <f>HLOOKUP(Stats!$B$2,Taulukko15[[8]:[Hakua varten]],Races!EH139,0)</f>
        <v>8</v>
      </c>
      <c r="F97" s="111">
        <f>VLOOKUP(E97,Professions!$DQ$1:$DX$203,3)</f>
        <v>24</v>
      </c>
      <c r="G97" s="111" t="s">
        <v>462</v>
      </c>
      <c r="H97" s="111">
        <f>Stats!$I$21</f>
        <v>5</v>
      </c>
      <c r="I97" s="111"/>
      <c r="J97" s="111"/>
      <c r="K97" s="197">
        <f t="shared" si="10"/>
        <v>13.99</v>
      </c>
      <c r="M97" s="304"/>
      <c r="O97" s="80">
        <f t="shared" si="6"/>
        <v>8</v>
      </c>
      <c r="P97" s="115"/>
      <c r="Q97" s="305">
        <f t="shared" si="11"/>
        <v>8</v>
      </c>
      <c r="Y97" s="80">
        <v>95</v>
      </c>
    </row>
    <row r="98" spans="1:25" ht="12.75" customHeight="1" x14ac:dyDescent="0.2">
      <c r="A98" s="246" t="s">
        <v>501</v>
      </c>
      <c r="B98" s="334" t="str">
        <f>HLOOKUP(Stats!$B$2,Taulukko14[[Dragonborn]:[Hakua varten]],Races!EH128,0)</f>
        <v>Rashemi</v>
      </c>
      <c r="C98" s="111" t="str">
        <f>HLOOKUP(Stats!$B$5,Professions!$E$2:$DD$57,15,0)</f>
        <v>2/2/2</v>
      </c>
      <c r="D98" s="111" t="str">
        <f>IF(Stats!$B$6="","",HLOOKUP(Stats!$B$6,Professions!$E$2:$DD$57,15,0))</f>
        <v>3/3/3</v>
      </c>
      <c r="E98" s="111">
        <f>HLOOKUP(Stats!$B$2,Taulukko15[[8]:[Hakua varten]],Races!EH140,0)</f>
        <v>8</v>
      </c>
      <c r="F98" s="111">
        <f>VLOOKUP(E98,Professions!$DQ$1:$DX$203,3)</f>
        <v>24</v>
      </c>
      <c r="G98" s="111" t="s">
        <v>462</v>
      </c>
      <c r="H98" s="111">
        <f>Stats!$I$21</f>
        <v>5</v>
      </c>
      <c r="I98" s="111"/>
      <c r="J98" s="111"/>
      <c r="K98" s="197">
        <f t="shared" si="10"/>
        <v>13.99</v>
      </c>
      <c r="M98" s="304"/>
      <c r="O98" s="80">
        <f t="shared" si="6"/>
        <v>8</v>
      </c>
      <c r="P98" s="115"/>
      <c r="Q98" s="305">
        <f t="shared" si="11"/>
        <v>8</v>
      </c>
      <c r="Y98" s="80">
        <v>96</v>
      </c>
    </row>
    <row r="99" spans="1:25" ht="12.75" customHeight="1" x14ac:dyDescent="0.2">
      <c r="A99" s="246" t="s">
        <v>500</v>
      </c>
      <c r="B99" s="334" t="str">
        <f>HLOOKUP(Stats!$B$2,Taulukko14[[Dragonborn]:[Hakua varten]],Races!EH129,0)</f>
        <v>Extra Language</v>
      </c>
      <c r="C99" s="111" t="str">
        <f>HLOOKUP(Stats!$B$5,Professions!$E$2:$DD$57,15,0)</f>
        <v>2/2/2</v>
      </c>
      <c r="D99" s="111" t="str">
        <f>IF(Stats!$B$6="","",HLOOKUP(Stats!$B$6,Professions!$E$2:$DD$57,15,0))</f>
        <v>3/3/3</v>
      </c>
      <c r="E99" s="111">
        <f>HLOOKUP(Stats!$B$2,Taulukko15[[8]:[Hakua varten]],Races!EH141,0)</f>
        <v>7</v>
      </c>
      <c r="F99" s="111">
        <f>VLOOKUP(E99,Professions!$DQ$1:$DX$203,3)</f>
        <v>21</v>
      </c>
      <c r="G99" s="111" t="s">
        <v>462</v>
      </c>
      <c r="H99" s="111">
        <f>Stats!$I$21</f>
        <v>5</v>
      </c>
      <c r="I99" s="111"/>
      <c r="J99" s="111"/>
      <c r="K99" s="197">
        <f t="shared" si="10"/>
        <v>10.99</v>
      </c>
      <c r="M99" s="304"/>
      <c r="O99" s="80">
        <f t="shared" si="6"/>
        <v>7</v>
      </c>
      <c r="P99" s="115"/>
      <c r="Q99" s="305">
        <f t="shared" si="11"/>
        <v>7</v>
      </c>
      <c r="Y99" s="80">
        <v>97</v>
      </c>
    </row>
    <row r="100" spans="1:25" ht="12.75" customHeight="1" x14ac:dyDescent="0.2">
      <c r="A100" s="246" t="s">
        <v>501</v>
      </c>
      <c r="B100" s="334" t="str">
        <f>HLOOKUP(Stats!$B$2,Taulukko14[[Dragonborn]:[Hakua varten]],Races!EH130,0)</f>
        <v>Extra Language</v>
      </c>
      <c r="C100" s="111" t="str">
        <f>HLOOKUP(Stats!$B$5,Professions!$E$2:$DD$57,15,0)</f>
        <v>2/2/2</v>
      </c>
      <c r="D100" s="111" t="str">
        <f>IF(Stats!$B$6="","",HLOOKUP(Stats!$B$6,Professions!$E$2:$DD$57,15,0))</f>
        <v>3/3/3</v>
      </c>
      <c r="E100" s="111">
        <f>HLOOKUP(Stats!$B$2,Taulukko15[[8]:[Hakua varten]],Races!EH142,0)</f>
        <v>7</v>
      </c>
      <c r="F100" s="111">
        <f>VLOOKUP(E100,Professions!$DQ$1:$DX$203,3)</f>
        <v>21</v>
      </c>
      <c r="G100" s="111" t="s">
        <v>462</v>
      </c>
      <c r="H100" s="111">
        <f>Stats!$I$21</f>
        <v>5</v>
      </c>
      <c r="I100" s="111"/>
      <c r="J100" s="111"/>
      <c r="K100" s="197">
        <f t="shared" si="10"/>
        <v>10.99</v>
      </c>
      <c r="M100" s="304"/>
      <c r="O100" s="80">
        <f t="shared" si="6"/>
        <v>7</v>
      </c>
      <c r="P100" s="115"/>
      <c r="Q100" s="305">
        <f t="shared" si="11"/>
        <v>7</v>
      </c>
      <c r="Y100" s="80">
        <v>98</v>
      </c>
    </row>
    <row r="101" spans="1:25" ht="12.75" customHeight="1" x14ac:dyDescent="0.2">
      <c r="A101" s="246" t="s">
        <v>500</v>
      </c>
      <c r="B101" s="334">
        <f>HLOOKUP(Stats!$B$2,Taulukko14[[Dragonborn]:[Hakua varten]],Races!EH131,0)</f>
        <v>0</v>
      </c>
      <c r="C101" s="111" t="str">
        <f>HLOOKUP(Stats!$B$5,Professions!$E$2:$DD$57,15,0)</f>
        <v>2/2/2</v>
      </c>
      <c r="D101" s="111" t="str">
        <f>IF(Stats!$B$6="","",HLOOKUP(Stats!$B$6,Professions!$E$2:$DD$57,15,0))</f>
        <v>3/3/3</v>
      </c>
      <c r="E101" s="111">
        <f>HLOOKUP(Stats!$B$2,Taulukko15[[8]:[Hakua varten]],Races!EH143,0)</f>
        <v>0</v>
      </c>
      <c r="F101" s="111">
        <f>VLOOKUP(E101,Professions!$DQ$1:$DX$203,3)</f>
        <v>-15</v>
      </c>
      <c r="G101" s="111" t="s">
        <v>462</v>
      </c>
      <c r="H101" s="111">
        <f>Stats!$I$21</f>
        <v>5</v>
      </c>
      <c r="I101" s="111"/>
      <c r="J101" s="111"/>
      <c r="K101" s="197">
        <f t="shared" si="10"/>
        <v>-25.009999999999998</v>
      </c>
      <c r="M101" s="304"/>
      <c r="O101" s="80">
        <f t="shared" ref="O101:O135" si="12">E101+M101</f>
        <v>0</v>
      </c>
      <c r="P101" s="115"/>
      <c r="Q101" s="305">
        <f t="shared" si="11"/>
        <v>0</v>
      </c>
      <c r="Y101" s="80">
        <v>99</v>
      </c>
    </row>
    <row r="102" spans="1:25" ht="12.75" customHeight="1" x14ac:dyDescent="0.2">
      <c r="A102" s="246" t="s">
        <v>501</v>
      </c>
      <c r="B102" s="334">
        <f>HLOOKUP(Stats!$B$2,Taulukko14[[Dragonborn]:[Hakua varten]],Races!EH132,0)</f>
        <v>0</v>
      </c>
      <c r="C102" s="111" t="str">
        <f>HLOOKUP(Stats!$B$5,Professions!$E$2:$DD$57,15,0)</f>
        <v>2/2/2</v>
      </c>
      <c r="D102" s="111" t="str">
        <f>IF(Stats!$B$6="","",HLOOKUP(Stats!$B$6,Professions!$E$2:$DD$57,15,0))</f>
        <v>3/3/3</v>
      </c>
      <c r="E102" s="111">
        <f>HLOOKUP(Stats!$B$2,Taulukko15[[8]:[Hakua varten]],Races!EH144,0)</f>
        <v>0</v>
      </c>
      <c r="F102" s="111">
        <f>VLOOKUP(E102,Professions!$DQ$1:$DX$203,3)</f>
        <v>-15</v>
      </c>
      <c r="G102" s="111" t="s">
        <v>462</v>
      </c>
      <c r="H102" s="111">
        <f>Stats!$I$21</f>
        <v>5</v>
      </c>
      <c r="I102" s="111"/>
      <c r="J102" s="111"/>
      <c r="K102" s="197">
        <f t="shared" si="10"/>
        <v>-25.009999999999998</v>
      </c>
      <c r="M102" s="304"/>
      <c r="O102" s="80">
        <f t="shared" si="12"/>
        <v>0</v>
      </c>
      <c r="P102" s="115"/>
      <c r="Q102" s="305">
        <f t="shared" si="11"/>
        <v>0</v>
      </c>
      <c r="Y102" s="80">
        <v>100</v>
      </c>
    </row>
    <row r="103" spans="1:25" ht="12.75" customHeight="1" x14ac:dyDescent="0.2">
      <c r="A103" s="246" t="s">
        <v>500</v>
      </c>
      <c r="B103" s="334">
        <f>HLOOKUP(Stats!$B$2,Taulukko14[[Dragonborn]:[Hakua varten]],Races!EH133,0)</f>
        <v>0</v>
      </c>
      <c r="C103" s="111" t="str">
        <f>HLOOKUP(Stats!$B$5,Professions!$E$2:$DD$57,15,0)</f>
        <v>2/2/2</v>
      </c>
      <c r="D103" s="111" t="str">
        <f>IF(Stats!$B$6="","",HLOOKUP(Stats!$B$6,Professions!$E$2:$DD$57,15,0))</f>
        <v>3/3/3</v>
      </c>
      <c r="E103" s="111">
        <f>HLOOKUP(Stats!$B$2,Taulukko15[[8]:[Hakua varten]],Races!EH145,0)</f>
        <v>0</v>
      </c>
      <c r="F103" s="111">
        <f>VLOOKUP(E103,Professions!$DQ$1:$DX$203,3)</f>
        <v>-15</v>
      </c>
      <c r="G103" s="111" t="s">
        <v>462</v>
      </c>
      <c r="H103" s="111">
        <f>Stats!$I$21</f>
        <v>5</v>
      </c>
      <c r="I103" s="111"/>
      <c r="J103" s="111"/>
      <c r="K103" s="197">
        <f t="shared" si="10"/>
        <v>-25.009999999999998</v>
      </c>
      <c r="M103" s="304"/>
      <c r="O103" s="80">
        <f t="shared" si="12"/>
        <v>0</v>
      </c>
      <c r="P103" s="115"/>
      <c r="Q103" s="305">
        <f t="shared" si="11"/>
        <v>0</v>
      </c>
      <c r="Y103" s="80">
        <v>101</v>
      </c>
    </row>
    <row r="104" spans="1:25" ht="12.75" customHeight="1" x14ac:dyDescent="0.2">
      <c r="A104" s="246" t="s">
        <v>501</v>
      </c>
      <c r="B104" s="334"/>
      <c r="C104" s="111" t="str">
        <f>HLOOKUP(Stats!$B$5,Professions!$E$2:$DD$57,15,0)</f>
        <v>2/2/2</v>
      </c>
      <c r="D104" s="111" t="str">
        <f>IF(Stats!$B$6="","",HLOOKUP(Stats!$B$6,Professions!$E$2:$DD$57,15,0))</f>
        <v>3/3/3</v>
      </c>
      <c r="E104" s="111"/>
      <c r="F104" s="111">
        <f>VLOOKUP(E104,Professions!$DQ$1:$DX$203,3)</f>
        <v>-15</v>
      </c>
      <c r="G104" s="111" t="s">
        <v>462</v>
      </c>
      <c r="H104" s="111">
        <f>Stats!$I$21</f>
        <v>5</v>
      </c>
      <c r="I104" s="111"/>
      <c r="J104" s="111"/>
      <c r="K104" s="197">
        <f t="shared" si="10"/>
        <v>-25.009999999999998</v>
      </c>
      <c r="M104" s="304"/>
      <c r="O104" s="80">
        <f t="shared" si="12"/>
        <v>0</v>
      </c>
      <c r="P104" s="115"/>
      <c r="Q104" s="305"/>
      <c r="Y104" s="80">
        <v>102</v>
      </c>
    </row>
    <row r="105" spans="1:25" ht="12.75" customHeight="1" x14ac:dyDescent="0.2">
      <c r="A105" s="246" t="s">
        <v>500</v>
      </c>
      <c r="B105" s="334"/>
      <c r="C105" s="111" t="str">
        <f>HLOOKUP(Stats!$B$5,Professions!$E$2:$DD$57,15,0)</f>
        <v>2/2/2</v>
      </c>
      <c r="D105" s="111" t="str">
        <f>IF(Stats!$B$6="","",HLOOKUP(Stats!$B$6,Professions!$E$2:$DD$57,15,0))</f>
        <v>3/3/3</v>
      </c>
      <c r="E105" s="111"/>
      <c r="F105" s="111">
        <f>VLOOKUP(E105,Professions!$DQ$1:$DX$203,3)</f>
        <v>-15</v>
      </c>
      <c r="G105" s="111" t="s">
        <v>462</v>
      </c>
      <c r="H105" s="111">
        <f>Stats!$I$21</f>
        <v>5</v>
      </c>
      <c r="I105" s="111"/>
      <c r="J105" s="111"/>
      <c r="K105" s="197">
        <f t="shared" si="10"/>
        <v>-25.009999999999998</v>
      </c>
      <c r="M105" s="304"/>
      <c r="O105" s="80">
        <f t="shared" si="12"/>
        <v>0</v>
      </c>
      <c r="P105" s="115"/>
      <c r="Q105" s="305"/>
      <c r="Y105" s="80">
        <v>103</v>
      </c>
    </row>
    <row r="106" spans="1:25" ht="12.75" customHeight="1" x14ac:dyDescent="0.2">
      <c r="A106" s="246" t="s">
        <v>501</v>
      </c>
      <c r="B106" s="334"/>
      <c r="C106" s="111" t="str">
        <f>HLOOKUP(Stats!$B$5,Professions!$E$2:$DD$57,15,0)</f>
        <v>2/2/2</v>
      </c>
      <c r="D106" s="111" t="str">
        <f>IF(Stats!$B$6="","",HLOOKUP(Stats!$B$6,Professions!$E$2:$DD$57,15,0))</f>
        <v>3/3/3</v>
      </c>
      <c r="E106" s="111"/>
      <c r="F106" s="111">
        <f>VLOOKUP(E106,Professions!$DQ$1:$DX$203,3)</f>
        <v>-15</v>
      </c>
      <c r="G106" s="111" t="s">
        <v>462</v>
      </c>
      <c r="H106" s="111">
        <f>Stats!$I$21</f>
        <v>5</v>
      </c>
      <c r="I106" s="111"/>
      <c r="J106" s="111"/>
      <c r="K106" s="197">
        <f t="shared" si="10"/>
        <v>-25.009999999999998</v>
      </c>
      <c r="M106" s="304"/>
      <c r="O106" s="80">
        <f t="shared" si="12"/>
        <v>0</v>
      </c>
      <c r="P106" s="115"/>
      <c r="Q106" s="305">
        <f>HLOOKUP(Stats!$B$2,Races!$AK$4:$EH$50,Races!EH22,0)</f>
        <v>8</v>
      </c>
      <c r="R106" s="80" t="s">
        <v>502</v>
      </c>
      <c r="Y106" s="80">
        <v>104</v>
      </c>
    </row>
    <row r="107" spans="1:25" ht="12.75" customHeight="1" x14ac:dyDescent="0.2">
      <c r="A107" s="111"/>
      <c r="B107" s="246" t="s">
        <v>503</v>
      </c>
      <c r="C107" s="111" t="str">
        <f>HLOOKUP(Stats!$B$5,Professions!$E$2:$DD$57,15,0)</f>
        <v>2/2/2</v>
      </c>
      <c r="D107" s="111" t="str">
        <f>IF(Stats!$B$6="","",HLOOKUP(Stats!$B$6,Professions!$E$2:$DD$57,15,0))</f>
        <v>3/3/3</v>
      </c>
      <c r="E107" s="111"/>
      <c r="F107" s="111">
        <f>VLOOKUP(E107,Professions!$DQ$1:$DX$203,3)</f>
        <v>-15</v>
      </c>
      <c r="G107" s="111" t="s">
        <v>220</v>
      </c>
      <c r="H107" s="111">
        <f>Stats!$I$15</f>
        <v>7</v>
      </c>
      <c r="I107" s="111"/>
      <c r="J107" s="111"/>
      <c r="K107" s="197">
        <f t="shared" si="10"/>
        <v>-23.009999999999998</v>
      </c>
      <c r="M107" s="304"/>
      <c r="O107" s="80">
        <f t="shared" si="12"/>
        <v>0</v>
      </c>
      <c r="P107" s="115"/>
      <c r="Q107" s="305"/>
      <c r="Y107" s="80">
        <v>105</v>
      </c>
    </row>
    <row r="108" spans="1:25" ht="12.75" customHeight="1" x14ac:dyDescent="0.2">
      <c r="A108" s="330" t="s">
        <v>476</v>
      </c>
      <c r="B108" s="331" t="s">
        <v>504</v>
      </c>
      <c r="C108" s="111" t="str">
        <f>HLOOKUP(Stats!$B$5,Professions!$E$2:$DD$57,15,0)</f>
        <v>2/2/2</v>
      </c>
      <c r="D108" s="111" t="str">
        <f>IF(Stats!$B$6="","",HLOOKUP(Stats!$B$6,Professions!$E$2:$DD$57,15,0))</f>
        <v>3/3/3</v>
      </c>
      <c r="E108" s="111"/>
      <c r="F108" s="111">
        <f>VLOOKUP(E108,Professions!$DQ$1:$DX$203,3)</f>
        <v>-15</v>
      </c>
      <c r="G108" s="111" t="s">
        <v>220</v>
      </c>
      <c r="H108" s="111">
        <f>Stats!$I$15</f>
        <v>7</v>
      </c>
      <c r="I108" s="111"/>
      <c r="J108" s="111"/>
      <c r="K108" s="197">
        <f t="shared" si="10"/>
        <v>-23.009999999999998</v>
      </c>
      <c r="M108" s="304"/>
      <c r="O108" s="80">
        <f t="shared" si="12"/>
        <v>0</v>
      </c>
      <c r="P108" s="115"/>
      <c r="Q108" s="305"/>
      <c r="Y108" s="80">
        <v>106</v>
      </c>
    </row>
    <row r="109" spans="1:25" ht="12.75" customHeight="1" x14ac:dyDescent="0.2">
      <c r="A109" s="148"/>
      <c r="B109" s="309" t="s">
        <v>505</v>
      </c>
      <c r="C109" s="111" t="str">
        <f>HLOOKUP(Stats!$B$5,Professions!$E$2:$DD$57,15,0)</f>
        <v>2/2/2</v>
      </c>
      <c r="D109" s="111" t="str">
        <f>IF(Stats!$B$6="","",HLOOKUP(Stats!$B$6,Professions!$E$2:$DD$57,15,0))</f>
        <v>3/3/3</v>
      </c>
      <c r="E109" s="111"/>
      <c r="F109" s="111">
        <f>VLOOKUP(E109,Professions!$DQ$1:$DX$203,3)</f>
        <v>-15</v>
      </c>
      <c r="G109" s="111" t="s">
        <v>399</v>
      </c>
      <c r="H109" s="111">
        <f>Stats!$I$16</f>
        <v>0</v>
      </c>
      <c r="I109" s="111"/>
      <c r="J109" s="111"/>
      <c r="K109" s="197">
        <f t="shared" si="10"/>
        <v>-30.009999999999998</v>
      </c>
      <c r="M109" s="304"/>
      <c r="O109" s="80">
        <f t="shared" si="12"/>
        <v>0</v>
      </c>
      <c r="P109" s="115"/>
      <c r="Q109" s="305"/>
      <c r="Y109" s="80">
        <v>107</v>
      </c>
    </row>
    <row r="110" spans="1:25" ht="12.75" customHeight="1" x14ac:dyDescent="0.2">
      <c r="A110" s="244" t="s">
        <v>506</v>
      </c>
      <c r="B110" s="204"/>
      <c r="C110" s="226"/>
      <c r="D110" s="226"/>
      <c r="E110" s="302"/>
      <c r="F110" s="302"/>
      <c r="G110" s="302" t="s">
        <v>507</v>
      </c>
      <c r="H110" s="302">
        <f>Stats!I14+Stats!I16</f>
        <v>7</v>
      </c>
      <c r="I110" s="303">
        <f>IF(Stats!$M$4="",HLOOKUP(Stats!$B$5,Professions!$F$59:$DD$114,Professions!$DF$17,0),((HLOOKUP(Stats!$B$5,Professions!$F$59:$DD$114,Professions!$DF$17,0)+HLOOKUP(Stats!$B$6,Professions!$F$59:$DD$114,Professions!$DF$17,0))/2-0.01))</f>
        <v>-0.01</v>
      </c>
      <c r="J110" s="302"/>
      <c r="K110" s="303">
        <f>F110+H110+I110+J110</f>
        <v>6.99</v>
      </c>
      <c r="M110" s="304"/>
      <c r="O110" s="80">
        <f t="shared" si="12"/>
        <v>0</v>
      </c>
      <c r="P110" s="115"/>
      <c r="Q110" s="305"/>
      <c r="Y110" s="80">
        <v>108</v>
      </c>
    </row>
    <row r="111" spans="1:25" ht="12.75" customHeight="1" x14ac:dyDescent="0.2">
      <c r="A111" s="179"/>
      <c r="B111" s="257" t="s">
        <v>508</v>
      </c>
      <c r="C111" s="111" t="str">
        <f>HLOOKUP(Stats!$B$5,Professions!$E$2:$DD$57,16,0)</f>
        <v>4/10</v>
      </c>
      <c r="D111" s="111" t="str">
        <f>IF(Stats!$B$6="","",HLOOKUP(Stats!$B$6,Professions!$E$2:$DD$57,16,0))</f>
        <v>4/10</v>
      </c>
      <c r="E111" s="111"/>
      <c r="F111" s="111">
        <f>VLOOKUP(E111,Professions!$DQ$1:$DX$203,5)</f>
        <v>-30</v>
      </c>
      <c r="G111" s="111" t="s">
        <v>445</v>
      </c>
      <c r="H111" s="111">
        <f>Stats!$I$22</f>
        <v>10</v>
      </c>
      <c r="I111" s="111"/>
      <c r="J111" s="111"/>
      <c r="K111" s="197">
        <f t="shared" ref="K111:K129" si="13">F111+H111+I111+J111+$K$110</f>
        <v>-13.01</v>
      </c>
      <c r="M111" s="304"/>
      <c r="O111" s="80">
        <f t="shared" si="12"/>
        <v>0</v>
      </c>
      <c r="P111" s="115"/>
      <c r="Q111" s="305"/>
      <c r="Y111" s="80">
        <v>109</v>
      </c>
    </row>
    <row r="112" spans="1:25" ht="12.75" customHeight="1" x14ac:dyDescent="0.2">
      <c r="A112" s="111"/>
      <c r="B112" s="246" t="s">
        <v>509</v>
      </c>
      <c r="C112" s="111" t="str">
        <f>HLOOKUP(Stats!$B$5,Professions!$E$2:$DD$57,16,0)</f>
        <v>4/10</v>
      </c>
      <c r="D112" s="111" t="str">
        <f>IF(Stats!$B$6="","",HLOOKUP(Stats!$B$6,Professions!$E$2:$DD$57,16,0))</f>
        <v>4/10</v>
      </c>
      <c r="E112" s="111"/>
      <c r="F112" s="111">
        <f>VLOOKUP(E112,Professions!$DQ$1:$DX$203,5)</f>
        <v>-30</v>
      </c>
      <c r="G112" s="111" t="s">
        <v>220</v>
      </c>
      <c r="H112" s="111">
        <f>Stats!$I$15</f>
        <v>7</v>
      </c>
      <c r="I112" s="111"/>
      <c r="J112" s="111"/>
      <c r="K112" s="197">
        <f t="shared" si="13"/>
        <v>-16.009999999999998</v>
      </c>
      <c r="M112" s="304"/>
      <c r="O112" s="80">
        <f t="shared" si="12"/>
        <v>0</v>
      </c>
      <c r="P112" s="115"/>
      <c r="Q112" s="305"/>
      <c r="Y112" s="80">
        <v>110</v>
      </c>
    </row>
    <row r="113" spans="1:25" ht="12.75" customHeight="1" x14ac:dyDescent="0.2">
      <c r="A113" s="111"/>
      <c r="B113" s="246" t="s">
        <v>510</v>
      </c>
      <c r="C113" s="111" t="str">
        <f>HLOOKUP(Stats!$B$5,Professions!$E$2:$DD$57,16,0)</f>
        <v>4/10</v>
      </c>
      <c r="D113" s="111" t="str">
        <f>IF(Stats!$B$6="","",HLOOKUP(Stats!$B$6,Professions!$E$2:$DD$57,16,0))</f>
        <v>4/10</v>
      </c>
      <c r="E113" s="111"/>
      <c r="F113" s="111">
        <f>VLOOKUP(E113,Professions!$DQ$1:$DX$203,5)</f>
        <v>-30</v>
      </c>
      <c r="G113" s="111" t="s">
        <v>220</v>
      </c>
      <c r="H113" s="111">
        <f>Stats!$I$15</f>
        <v>7</v>
      </c>
      <c r="I113" s="111"/>
      <c r="J113" s="111"/>
      <c r="K113" s="197">
        <f t="shared" si="13"/>
        <v>-16.009999999999998</v>
      </c>
      <c r="M113" s="304"/>
      <c r="O113" s="80">
        <f t="shared" si="12"/>
        <v>0</v>
      </c>
      <c r="P113" s="115"/>
      <c r="Q113" s="305"/>
      <c r="Y113" s="80">
        <v>111</v>
      </c>
    </row>
    <row r="114" spans="1:25" ht="12.75" customHeight="1" x14ac:dyDescent="0.2">
      <c r="A114" s="111"/>
      <c r="B114" s="246" t="s">
        <v>511</v>
      </c>
      <c r="C114" s="111" t="str">
        <f>HLOOKUP(Stats!$B$5,Professions!$E$2:$DD$57,16,0)</f>
        <v>4/10</v>
      </c>
      <c r="D114" s="111" t="str">
        <f>IF(Stats!$B$6="","",HLOOKUP(Stats!$B$6,Professions!$E$2:$DD$57,16,0))</f>
        <v>4/10</v>
      </c>
      <c r="E114" s="111"/>
      <c r="F114" s="111">
        <f>VLOOKUP(E114,Professions!$DQ$1:$DX$203,5)</f>
        <v>-30</v>
      </c>
      <c r="G114" s="111" t="s">
        <v>445</v>
      </c>
      <c r="H114" s="111">
        <f>Stats!$I$22</f>
        <v>10</v>
      </c>
      <c r="I114" s="111"/>
      <c r="J114" s="111"/>
      <c r="K114" s="197">
        <f t="shared" si="13"/>
        <v>-13.01</v>
      </c>
      <c r="M114" s="304"/>
      <c r="O114" s="80">
        <f t="shared" si="12"/>
        <v>0</v>
      </c>
      <c r="P114" s="115"/>
      <c r="Q114" s="305"/>
      <c r="Y114" s="80">
        <v>112</v>
      </c>
    </row>
    <row r="115" spans="1:25" ht="12.75" customHeight="1" x14ac:dyDescent="0.2">
      <c r="A115" s="111"/>
      <c r="B115" s="246" t="s">
        <v>512</v>
      </c>
      <c r="C115" s="111" t="str">
        <f>HLOOKUP(Stats!$B$5,Professions!$E$2:$DD$57,16,0)</f>
        <v>4/10</v>
      </c>
      <c r="D115" s="111" t="str">
        <f>IF(Stats!$B$6="","",HLOOKUP(Stats!$B$6,Professions!$E$2:$DD$57,16,0))</f>
        <v>4/10</v>
      </c>
      <c r="E115" s="111"/>
      <c r="F115" s="111">
        <f>VLOOKUP(E115,Professions!$DQ$1:$DX$203,5)</f>
        <v>-30</v>
      </c>
      <c r="G115" s="111" t="s">
        <v>462</v>
      </c>
      <c r="H115" s="111">
        <f>Stats!$I$21</f>
        <v>5</v>
      </c>
      <c r="I115" s="111"/>
      <c r="J115" s="111"/>
      <c r="K115" s="197">
        <f t="shared" si="13"/>
        <v>-18.009999999999998</v>
      </c>
      <c r="M115" s="304"/>
      <c r="O115" s="80">
        <f t="shared" si="12"/>
        <v>0</v>
      </c>
      <c r="P115" s="115"/>
      <c r="Q115" s="305"/>
      <c r="Y115" s="80">
        <v>113</v>
      </c>
    </row>
    <row r="116" spans="1:25" ht="12.75" customHeight="1" x14ac:dyDescent="0.2">
      <c r="A116" s="330" t="s">
        <v>476</v>
      </c>
      <c r="B116" s="331" t="s">
        <v>513</v>
      </c>
      <c r="C116" s="111" t="str">
        <f>HLOOKUP(Stats!$B$5,Professions!$E$2:$DD$57,16,0)</f>
        <v>4/10</v>
      </c>
      <c r="D116" s="111" t="str">
        <f>IF(Stats!$B$6="","",HLOOKUP(Stats!$B$6,Professions!$E$2:$DD$57,16,0))</f>
        <v>4/10</v>
      </c>
      <c r="E116" s="111"/>
      <c r="F116" s="111">
        <f>VLOOKUP(E116,Professions!$DQ$1:$DX$203,5)</f>
        <v>-30</v>
      </c>
      <c r="G116" s="111" t="s">
        <v>220</v>
      </c>
      <c r="H116" s="111">
        <f>Stats!$I$15</f>
        <v>7</v>
      </c>
      <c r="I116" s="111"/>
      <c r="J116" s="111"/>
      <c r="K116" s="197">
        <f t="shared" si="13"/>
        <v>-16.009999999999998</v>
      </c>
      <c r="M116" s="304"/>
      <c r="O116" s="80">
        <f t="shared" si="12"/>
        <v>0</v>
      </c>
      <c r="P116" s="115"/>
      <c r="Q116" s="305"/>
      <c r="Y116" s="80">
        <v>114</v>
      </c>
    </row>
    <row r="117" spans="1:25" ht="12.75" customHeight="1" x14ac:dyDescent="0.2">
      <c r="A117" s="111"/>
      <c r="B117" s="246" t="s">
        <v>514</v>
      </c>
      <c r="C117" s="111" t="str">
        <f>HLOOKUP(Stats!$B$5,Professions!$E$2:$DD$57,16,0)</f>
        <v>4/10</v>
      </c>
      <c r="D117" s="111" t="str">
        <f>IF(Stats!$B$6="","",HLOOKUP(Stats!$B$6,Professions!$E$2:$DD$57,16,0))</f>
        <v>4/10</v>
      </c>
      <c r="E117" s="111"/>
      <c r="F117" s="111">
        <f>VLOOKUP(E117,Professions!$DQ$1:$DX$203,5)</f>
        <v>-30</v>
      </c>
      <c r="G117" s="111" t="s">
        <v>220</v>
      </c>
      <c r="H117" s="111">
        <f>Stats!$I$15</f>
        <v>7</v>
      </c>
      <c r="I117" s="111"/>
      <c r="J117" s="111"/>
      <c r="K117" s="197">
        <f t="shared" si="13"/>
        <v>-16.009999999999998</v>
      </c>
      <c r="M117" s="304"/>
      <c r="O117" s="80">
        <f t="shared" si="12"/>
        <v>0</v>
      </c>
      <c r="P117" s="115"/>
      <c r="Q117" s="305"/>
      <c r="Y117" s="80">
        <v>115</v>
      </c>
    </row>
    <row r="118" spans="1:25" ht="12.75" customHeight="1" x14ac:dyDescent="0.2">
      <c r="A118" s="111"/>
      <c r="B118" s="246" t="s">
        <v>515</v>
      </c>
      <c r="C118" s="111" t="str">
        <f>HLOOKUP(Stats!$B$5,Professions!$E$2:$DD$57,16,0)</f>
        <v>4/10</v>
      </c>
      <c r="D118" s="111" t="str">
        <f>IF(Stats!$B$6="","",HLOOKUP(Stats!$B$6,Professions!$E$2:$DD$57,16,0))</f>
        <v>4/10</v>
      </c>
      <c r="E118" s="111"/>
      <c r="F118" s="111">
        <f>VLOOKUP(E118,Professions!$DQ$1:$DX$203,5)</f>
        <v>-30</v>
      </c>
      <c r="G118" s="111" t="s">
        <v>445</v>
      </c>
      <c r="H118" s="111">
        <f>Stats!$I$22</f>
        <v>10</v>
      </c>
      <c r="I118" s="111"/>
      <c r="J118" s="111"/>
      <c r="K118" s="197">
        <f t="shared" si="13"/>
        <v>-13.01</v>
      </c>
      <c r="M118" s="304"/>
      <c r="O118" s="80">
        <f t="shared" si="12"/>
        <v>0</v>
      </c>
      <c r="P118" s="115"/>
      <c r="Q118" s="305"/>
      <c r="Y118" s="80">
        <v>116</v>
      </c>
    </row>
    <row r="119" spans="1:25" ht="12.75" customHeight="1" x14ac:dyDescent="0.2">
      <c r="A119" s="330" t="s">
        <v>476</v>
      </c>
      <c r="B119" s="331" t="s">
        <v>516</v>
      </c>
      <c r="C119" s="111" t="str">
        <f>HLOOKUP(Stats!$B$5,Professions!$E$2:$DD$57,16,0)</f>
        <v>4/10</v>
      </c>
      <c r="D119" s="111" t="str">
        <f>IF(Stats!$B$6="","",HLOOKUP(Stats!$B$6,Professions!$E$2:$DD$57,16,0))</f>
        <v>4/10</v>
      </c>
      <c r="E119" s="111"/>
      <c r="F119" s="111">
        <f>VLOOKUP(E119,Professions!$DQ$1:$DX$203,5)</f>
        <v>-30</v>
      </c>
      <c r="G119" s="111" t="s">
        <v>445</v>
      </c>
      <c r="H119" s="111">
        <f>Stats!$I$22</f>
        <v>10</v>
      </c>
      <c r="I119" s="111"/>
      <c r="J119" s="111"/>
      <c r="K119" s="197">
        <f t="shared" si="13"/>
        <v>-13.01</v>
      </c>
      <c r="M119" s="304"/>
      <c r="O119" s="80">
        <f t="shared" si="12"/>
        <v>0</v>
      </c>
      <c r="P119" s="115"/>
      <c r="Q119" s="305"/>
      <c r="Y119" s="80">
        <v>117</v>
      </c>
    </row>
    <row r="120" spans="1:25" ht="12.75" customHeight="1" x14ac:dyDescent="0.2">
      <c r="A120" s="111"/>
      <c r="B120" s="246" t="s">
        <v>514</v>
      </c>
      <c r="C120" s="111" t="str">
        <f>HLOOKUP(Stats!$B$5,Professions!$E$2:$DD$57,16,0)</f>
        <v>4/10</v>
      </c>
      <c r="D120" s="111" t="str">
        <f>IF(Stats!$B$6="","",HLOOKUP(Stats!$B$6,Professions!$E$2:$DD$57,16,0))</f>
        <v>4/10</v>
      </c>
      <c r="E120" s="111"/>
      <c r="F120" s="111">
        <f>VLOOKUP(E120,Professions!$DQ$1:$DX$203,5)</f>
        <v>-30</v>
      </c>
      <c r="G120" s="111" t="s">
        <v>445</v>
      </c>
      <c r="H120" s="111">
        <f>Stats!$I$22</f>
        <v>10</v>
      </c>
      <c r="I120" s="111"/>
      <c r="J120" s="111"/>
      <c r="K120" s="197">
        <f t="shared" si="13"/>
        <v>-13.01</v>
      </c>
      <c r="M120" s="304"/>
      <c r="O120" s="80">
        <f t="shared" si="12"/>
        <v>0</v>
      </c>
      <c r="P120" s="115"/>
      <c r="Q120" s="305"/>
      <c r="Y120" s="80">
        <v>118</v>
      </c>
    </row>
    <row r="121" spans="1:25" ht="12.75" customHeight="1" x14ac:dyDescent="0.2">
      <c r="A121" s="111"/>
      <c r="B121" s="246" t="s">
        <v>517</v>
      </c>
      <c r="C121" s="111" t="str">
        <f>HLOOKUP(Stats!$B$5,Professions!$E$2:$DD$57,16,0)</f>
        <v>4/10</v>
      </c>
      <c r="D121" s="111" t="str">
        <f>IF(Stats!$B$6="","",HLOOKUP(Stats!$B$6,Professions!$E$2:$DD$57,16,0))</f>
        <v>4/10</v>
      </c>
      <c r="E121" s="111"/>
      <c r="F121" s="111">
        <f>VLOOKUP(E121,Professions!$DQ$1:$DX$203,5)</f>
        <v>-30</v>
      </c>
      <c r="G121" s="111" t="s">
        <v>445</v>
      </c>
      <c r="H121" s="111">
        <f>Stats!$I$22</f>
        <v>10</v>
      </c>
      <c r="I121" s="111"/>
      <c r="J121" s="111"/>
      <c r="K121" s="197">
        <f t="shared" si="13"/>
        <v>-13.01</v>
      </c>
      <c r="M121" s="304"/>
      <c r="O121" s="80">
        <f t="shared" si="12"/>
        <v>0</v>
      </c>
      <c r="P121" s="115"/>
      <c r="Q121" s="305"/>
      <c r="Y121" s="80">
        <v>119</v>
      </c>
    </row>
    <row r="122" spans="1:25" ht="12.75" customHeight="1" x14ac:dyDescent="0.2">
      <c r="A122" s="111"/>
      <c r="B122" s="246" t="s">
        <v>518</v>
      </c>
      <c r="C122" s="111" t="str">
        <f>HLOOKUP(Stats!$B$5,Professions!$E$2:$DD$57,16,0)</f>
        <v>4/10</v>
      </c>
      <c r="D122" s="111" t="str">
        <f>IF(Stats!$B$6="","",HLOOKUP(Stats!$B$6,Professions!$E$2:$DD$57,16,0))</f>
        <v>4/10</v>
      </c>
      <c r="E122" s="111"/>
      <c r="F122" s="111">
        <f>VLOOKUP(E122,Professions!$DQ$1:$DX$203,5)</f>
        <v>-30</v>
      </c>
      <c r="G122" s="111" t="s">
        <v>220</v>
      </c>
      <c r="H122" s="111">
        <f>Stats!$I$15</f>
        <v>7</v>
      </c>
      <c r="I122" s="111"/>
      <c r="J122" s="111"/>
      <c r="K122" s="197">
        <f t="shared" si="13"/>
        <v>-16.009999999999998</v>
      </c>
      <c r="M122" s="304"/>
      <c r="O122" s="80">
        <f t="shared" si="12"/>
        <v>0</v>
      </c>
      <c r="P122" s="115"/>
      <c r="Q122" s="305"/>
      <c r="Y122" s="80">
        <v>120</v>
      </c>
    </row>
    <row r="123" spans="1:25" ht="12.75" customHeight="1" x14ac:dyDescent="0.2">
      <c r="A123" s="111"/>
      <c r="B123" s="246" t="s">
        <v>519</v>
      </c>
      <c r="C123" s="111" t="str">
        <f>HLOOKUP(Stats!$B$5,Professions!$E$2:$DD$57,16,0)</f>
        <v>4/10</v>
      </c>
      <c r="D123" s="111" t="str">
        <f>IF(Stats!$B$6="","",HLOOKUP(Stats!$B$6,Professions!$E$2:$DD$57,16,0))</f>
        <v>4/10</v>
      </c>
      <c r="E123" s="111"/>
      <c r="F123" s="111">
        <f>VLOOKUP(E123,Professions!$DQ$1:$DX$203,5)</f>
        <v>-30</v>
      </c>
      <c r="G123" s="111" t="s">
        <v>220</v>
      </c>
      <c r="H123" s="111">
        <f>Stats!$I$15</f>
        <v>7</v>
      </c>
      <c r="I123" s="111"/>
      <c r="J123" s="111"/>
      <c r="K123" s="197">
        <f t="shared" si="13"/>
        <v>-16.009999999999998</v>
      </c>
      <c r="M123" s="304"/>
      <c r="O123" s="80">
        <f t="shared" si="12"/>
        <v>0</v>
      </c>
      <c r="P123" s="115"/>
      <c r="Q123" s="305"/>
      <c r="Y123" s="80">
        <v>121</v>
      </c>
    </row>
    <row r="124" spans="1:25" ht="12.75" customHeight="1" x14ac:dyDescent="0.2">
      <c r="A124" s="111"/>
      <c r="B124" s="246" t="s">
        <v>520</v>
      </c>
      <c r="C124" s="111" t="str">
        <f>HLOOKUP(Stats!$B$5,Professions!$E$2:$DD$57,16,0)</f>
        <v>4/10</v>
      </c>
      <c r="D124" s="111" t="str">
        <f>IF(Stats!$B$6="","",HLOOKUP(Stats!$B$6,Professions!$E$2:$DD$57,16,0))</f>
        <v>4/10</v>
      </c>
      <c r="E124" s="111"/>
      <c r="F124" s="111">
        <f>VLOOKUP(E124,Professions!$DQ$1:$DX$203,5)</f>
        <v>-30</v>
      </c>
      <c r="G124" s="111" t="s">
        <v>445</v>
      </c>
      <c r="H124" s="111">
        <f>Stats!$I$22</f>
        <v>10</v>
      </c>
      <c r="I124" s="111"/>
      <c r="J124" s="111"/>
      <c r="K124" s="197">
        <f t="shared" si="13"/>
        <v>-13.01</v>
      </c>
      <c r="M124" s="304"/>
      <c r="O124" s="80">
        <f t="shared" si="12"/>
        <v>0</v>
      </c>
      <c r="P124" s="115"/>
      <c r="Q124" s="305"/>
      <c r="Y124" s="80">
        <v>122</v>
      </c>
    </row>
    <row r="125" spans="1:25" ht="12.75" customHeight="1" x14ac:dyDescent="0.2">
      <c r="A125" s="111"/>
      <c r="B125" s="246" t="s">
        <v>521</v>
      </c>
      <c r="C125" s="111" t="str">
        <f>HLOOKUP(Stats!$B$5,Professions!$E$2:$DD$57,16,0)</f>
        <v>4/10</v>
      </c>
      <c r="D125" s="111" t="str">
        <f>IF(Stats!$B$6="","",HLOOKUP(Stats!$B$6,Professions!$E$2:$DD$57,16,0))</f>
        <v>4/10</v>
      </c>
      <c r="E125" s="111"/>
      <c r="F125" s="111">
        <f>VLOOKUP(E125,Professions!$DQ$1:$DX$203,5)</f>
        <v>-30</v>
      </c>
      <c r="G125" s="111" t="s">
        <v>445</v>
      </c>
      <c r="H125" s="111">
        <f>Stats!$I$22</f>
        <v>10</v>
      </c>
      <c r="I125" s="111"/>
      <c r="J125" s="111"/>
      <c r="K125" s="197">
        <f t="shared" si="13"/>
        <v>-13.01</v>
      </c>
      <c r="M125" s="304"/>
      <c r="O125" s="80">
        <f t="shared" si="12"/>
        <v>0</v>
      </c>
      <c r="P125" s="115"/>
      <c r="Q125" s="305"/>
      <c r="Y125" s="80">
        <v>123</v>
      </c>
    </row>
    <row r="126" spans="1:25" ht="12.75" customHeight="1" x14ac:dyDescent="0.2">
      <c r="A126" s="330" t="s">
        <v>476</v>
      </c>
      <c r="B126" s="331" t="s">
        <v>522</v>
      </c>
      <c r="C126" s="111" t="str">
        <f>HLOOKUP(Stats!$B$5,Professions!$E$2:$DD$57,16,0)</f>
        <v>4/10</v>
      </c>
      <c r="D126" s="111" t="str">
        <f>IF(Stats!$B$6="","",HLOOKUP(Stats!$B$6,Professions!$E$2:$DD$57,16,0))</f>
        <v>4/10</v>
      </c>
      <c r="E126" s="111"/>
      <c r="F126" s="111">
        <f>VLOOKUP(E126,Professions!$DQ$1:$DX$203,5)</f>
        <v>-30</v>
      </c>
      <c r="G126" s="111" t="s">
        <v>445</v>
      </c>
      <c r="H126" s="111">
        <f>Stats!$I$22</f>
        <v>10</v>
      </c>
      <c r="I126" s="111"/>
      <c r="J126" s="111"/>
      <c r="K126" s="197">
        <f t="shared" si="13"/>
        <v>-13.01</v>
      </c>
      <c r="M126" s="304"/>
      <c r="O126" s="80">
        <f t="shared" si="12"/>
        <v>0</v>
      </c>
      <c r="P126" s="115"/>
      <c r="Q126" s="305"/>
      <c r="Y126" s="80">
        <v>124</v>
      </c>
    </row>
    <row r="127" spans="1:25" ht="12.75" customHeight="1" x14ac:dyDescent="0.2">
      <c r="A127" s="111"/>
      <c r="B127" s="246" t="s">
        <v>514</v>
      </c>
      <c r="C127" s="111" t="str">
        <f>HLOOKUP(Stats!$B$5,Professions!$E$2:$DD$57,16,0)</f>
        <v>4/10</v>
      </c>
      <c r="D127" s="111" t="str">
        <f>IF(Stats!$B$6="","",HLOOKUP(Stats!$B$6,Professions!$E$2:$DD$57,16,0))</f>
        <v>4/10</v>
      </c>
      <c r="E127" s="111"/>
      <c r="F127" s="111">
        <f>VLOOKUP(E127,Professions!$DQ$1:$DX$203,5)</f>
        <v>-30</v>
      </c>
      <c r="G127" s="111" t="s">
        <v>445</v>
      </c>
      <c r="H127" s="111">
        <f>Stats!$I$22</f>
        <v>10</v>
      </c>
      <c r="I127" s="111"/>
      <c r="J127" s="111"/>
      <c r="K127" s="197">
        <f t="shared" si="13"/>
        <v>-13.01</v>
      </c>
      <c r="M127" s="304"/>
      <c r="O127" s="80">
        <f t="shared" si="12"/>
        <v>0</v>
      </c>
      <c r="P127" s="115"/>
      <c r="Q127" s="305"/>
      <c r="Y127" s="80">
        <v>125</v>
      </c>
    </row>
    <row r="128" spans="1:25" ht="12.75" customHeight="1" x14ac:dyDescent="0.2">
      <c r="A128" s="330" t="s">
        <v>476</v>
      </c>
      <c r="B128" s="331" t="s">
        <v>523</v>
      </c>
      <c r="C128" s="111" t="str">
        <f>HLOOKUP(Stats!$B$5,Professions!$E$2:$DD$57,16,0)</f>
        <v>4/10</v>
      </c>
      <c r="D128" s="111" t="str">
        <f>IF(Stats!$B$6="","",HLOOKUP(Stats!$B$6,Professions!$E$2:$DD$57,16,0))</f>
        <v>4/10</v>
      </c>
      <c r="E128" s="111"/>
      <c r="F128" s="111">
        <f>VLOOKUP(E128,Professions!$DQ$1:$DX$203,5)</f>
        <v>-30</v>
      </c>
      <c r="G128" s="111" t="s">
        <v>445</v>
      </c>
      <c r="H128" s="111">
        <f>Stats!$I$22</f>
        <v>10</v>
      </c>
      <c r="I128" s="111"/>
      <c r="J128" s="111"/>
      <c r="K128" s="197">
        <f t="shared" si="13"/>
        <v>-13.01</v>
      </c>
      <c r="M128" s="304"/>
      <c r="O128" s="80">
        <f t="shared" si="12"/>
        <v>0</v>
      </c>
      <c r="P128" s="115"/>
      <c r="Q128" s="305"/>
      <c r="Y128" s="80">
        <v>126</v>
      </c>
    </row>
    <row r="129" spans="1:25" ht="12.75" customHeight="1" x14ac:dyDescent="0.2">
      <c r="A129" s="148"/>
      <c r="B129" s="309" t="s">
        <v>514</v>
      </c>
      <c r="C129" s="111" t="str">
        <f>HLOOKUP(Stats!$B$5,Professions!$E$2:$DD$57,16,0)</f>
        <v>4/10</v>
      </c>
      <c r="D129" s="111" t="str">
        <f>IF(Stats!$B$6="","",HLOOKUP(Stats!$B$6,Professions!$E$2:$DD$57,16,0))</f>
        <v>4/10</v>
      </c>
      <c r="E129" s="111"/>
      <c r="F129" s="111">
        <f>VLOOKUP(E129,Professions!$DQ$1:$DX$203,5)</f>
        <v>-30</v>
      </c>
      <c r="G129" s="111" t="s">
        <v>445</v>
      </c>
      <c r="H129" s="111">
        <f>Stats!$I$22</f>
        <v>10</v>
      </c>
      <c r="I129" s="111"/>
      <c r="J129" s="111"/>
      <c r="K129" s="197">
        <f t="shared" si="13"/>
        <v>-13.01</v>
      </c>
      <c r="M129" s="304"/>
      <c r="O129" s="80">
        <f t="shared" si="12"/>
        <v>0</v>
      </c>
      <c r="P129" s="115"/>
      <c r="Q129" s="305"/>
      <c r="Y129" s="80">
        <v>127</v>
      </c>
    </row>
    <row r="130" spans="1:25" ht="12.75" customHeight="1" x14ac:dyDescent="0.2">
      <c r="A130" s="244" t="s">
        <v>524</v>
      </c>
      <c r="B130" s="204"/>
      <c r="C130" s="226" t="str">
        <f>HLOOKUP(Stats!$B$5,Professions!$E$2:$DD$57,17,0)</f>
        <v>2/5</v>
      </c>
      <c r="D130" s="226" t="str">
        <f>IF(Stats!$B$6="","",HLOOKUP(Stats!$B$6,Professions!$E$2:$DD$57,5,0))</f>
        <v>2/5</v>
      </c>
      <c r="E130" s="302"/>
      <c r="F130" s="302">
        <f>VLOOKUP(E130,Professions!$DQ$1:$DX$203,2)</f>
        <v>-15</v>
      </c>
      <c r="G130" s="302" t="s">
        <v>525</v>
      </c>
      <c r="H130" s="302">
        <f>Stats!I14+Stats!I15</f>
        <v>14</v>
      </c>
      <c r="I130" s="303">
        <f>IF(Stats!$M$4="",HLOOKUP(Stats!$B$5,Professions!$F$59:$DD$114,Professions!$DF$18,0),((HLOOKUP(Stats!$B$5,Professions!$F$59:$DD$114,Professions!$DF$18,0)+HLOOKUP(Stats!$B$6,Professions!$F$59:$DD$114,Professions!$DF$18,0))/2-0.01))</f>
        <v>2.4900000000000002</v>
      </c>
      <c r="J130" s="302"/>
      <c r="K130" s="303">
        <f>F130+H130+I130+J130</f>
        <v>1.4900000000000002</v>
      </c>
      <c r="M130" s="304"/>
      <c r="O130" s="80">
        <f t="shared" si="12"/>
        <v>0</v>
      </c>
      <c r="P130" s="115"/>
      <c r="Q130" s="305"/>
      <c r="Y130" s="80">
        <v>128</v>
      </c>
    </row>
    <row r="131" spans="1:25" ht="12.75" customHeight="1" x14ac:dyDescent="0.2">
      <c r="A131" s="179"/>
      <c r="B131" s="257" t="s">
        <v>526</v>
      </c>
      <c r="C131" s="111" t="str">
        <f>HLOOKUP(Stats!$B$5,Professions!$E$2:$DD$57,17,0)</f>
        <v>2/5</v>
      </c>
      <c r="D131" s="111" t="str">
        <f>IF(Stats!$B$6="","",HLOOKUP(Stats!$B$6,Professions!$E$2:$DD$57,17,0))</f>
        <v>20</v>
      </c>
      <c r="E131" s="111"/>
      <c r="F131" s="111">
        <f>VLOOKUP(E131,Professions!$DQ$1:$DX$203,3)</f>
        <v>-15</v>
      </c>
      <c r="G131" s="111" t="s">
        <v>389</v>
      </c>
      <c r="H131" s="111">
        <f>Stats!$I$14</f>
        <v>7</v>
      </c>
      <c r="I131" s="111"/>
      <c r="J131" s="111"/>
      <c r="K131" s="197">
        <f>F131+H131+I131+J131+$K$130</f>
        <v>-6.51</v>
      </c>
      <c r="M131" s="304"/>
      <c r="O131" s="80">
        <f t="shared" si="12"/>
        <v>0</v>
      </c>
      <c r="P131" s="115"/>
      <c r="Q131" s="305"/>
      <c r="Y131" s="80">
        <v>129</v>
      </c>
    </row>
    <row r="132" spans="1:25" ht="12.75" customHeight="1" x14ac:dyDescent="0.2">
      <c r="A132" s="111"/>
      <c r="B132" s="246" t="s">
        <v>526</v>
      </c>
      <c r="C132" s="111" t="str">
        <f>HLOOKUP(Stats!$B$5,Professions!$E$2:$DD$57,17,0)</f>
        <v>2/5</v>
      </c>
      <c r="D132" s="111" t="str">
        <f>IF(Stats!$B$6="","",HLOOKUP(Stats!$B$6,Professions!$E$2:$DD$57,17,0))</f>
        <v>20</v>
      </c>
      <c r="E132" s="111"/>
      <c r="F132" s="111">
        <f>VLOOKUP(E132,Professions!$DQ$1:$DX$203,3)</f>
        <v>-15</v>
      </c>
      <c r="G132" s="111" t="s">
        <v>389</v>
      </c>
      <c r="H132" s="111">
        <f>Stats!$I$14</f>
        <v>7</v>
      </c>
      <c r="I132" s="111"/>
      <c r="J132" s="111"/>
      <c r="K132" s="197">
        <f>F132+H132+I132+J132+$K$130</f>
        <v>-6.51</v>
      </c>
      <c r="M132" s="304"/>
      <c r="O132" s="80">
        <f t="shared" si="12"/>
        <v>0</v>
      </c>
      <c r="P132" s="115"/>
      <c r="Q132" s="305"/>
      <c r="Y132" s="80">
        <v>130</v>
      </c>
    </row>
    <row r="133" spans="1:25" ht="12.75" customHeight="1" x14ac:dyDescent="0.2">
      <c r="A133" s="111"/>
      <c r="B133" s="246" t="s">
        <v>526</v>
      </c>
      <c r="C133" s="111" t="str">
        <f>HLOOKUP(Stats!$B$5,Professions!$E$2:$DD$57,17,0)</f>
        <v>2/5</v>
      </c>
      <c r="D133" s="111" t="str">
        <f>IF(Stats!$B$6="","",HLOOKUP(Stats!$B$6,Professions!$E$2:$DD$57,17,0))</f>
        <v>20</v>
      </c>
      <c r="E133" s="111"/>
      <c r="F133" s="111">
        <f>VLOOKUP(E133,Professions!$DQ$1:$DX$203,3)</f>
        <v>-15</v>
      </c>
      <c r="G133" s="111" t="s">
        <v>389</v>
      </c>
      <c r="H133" s="111">
        <f>Stats!$I$14</f>
        <v>7</v>
      </c>
      <c r="I133" s="111"/>
      <c r="J133" s="111"/>
      <c r="K133" s="197">
        <f>F133+H133+I133+J133+$K$130</f>
        <v>-6.51</v>
      </c>
      <c r="M133" s="304"/>
      <c r="O133" s="80">
        <f t="shared" si="12"/>
        <v>0</v>
      </c>
      <c r="P133" s="115"/>
      <c r="Q133" s="305"/>
      <c r="Y133" s="80">
        <v>131</v>
      </c>
    </row>
    <row r="134" spans="1:25" ht="12.75" customHeight="1" x14ac:dyDescent="0.2">
      <c r="A134" s="111"/>
      <c r="B134" s="246" t="s">
        <v>526</v>
      </c>
      <c r="C134" s="111" t="str">
        <f>HLOOKUP(Stats!$B$5,Professions!$E$2:$DD$57,17,0)</f>
        <v>2/5</v>
      </c>
      <c r="D134" s="111" t="str">
        <f>IF(Stats!$B$6="","",HLOOKUP(Stats!$B$6,Professions!$E$2:$DD$57,17,0))</f>
        <v>20</v>
      </c>
      <c r="E134" s="111"/>
      <c r="F134" s="111">
        <f>VLOOKUP(E134,Professions!$DQ$1:$DX$203,3)</f>
        <v>-15</v>
      </c>
      <c r="G134" s="111" t="s">
        <v>389</v>
      </c>
      <c r="H134" s="111">
        <f>Stats!$I$14</f>
        <v>7</v>
      </c>
      <c r="I134" s="111"/>
      <c r="J134" s="111"/>
      <c r="K134" s="197">
        <f>F134+H134+I134+J134+$K$130</f>
        <v>-6.51</v>
      </c>
      <c r="M134" s="304"/>
      <c r="O134" s="80">
        <f t="shared" si="12"/>
        <v>0</v>
      </c>
      <c r="P134" s="115"/>
      <c r="Q134" s="305"/>
      <c r="Y134" s="80">
        <v>132</v>
      </c>
    </row>
    <row r="135" spans="1:25" ht="12.75" customHeight="1" x14ac:dyDescent="0.2">
      <c r="A135" s="111"/>
      <c r="B135" s="246" t="s">
        <v>526</v>
      </c>
      <c r="C135" s="111" t="str">
        <f>HLOOKUP(Stats!$B$5,Professions!$E$2:$DD$57,17,0)</f>
        <v>2/5</v>
      </c>
      <c r="D135" s="111" t="str">
        <f>IF(Stats!$B$6="","",HLOOKUP(Stats!$B$6,Professions!$E$2:$DD$57,17,0))</f>
        <v>20</v>
      </c>
      <c r="E135" s="111"/>
      <c r="F135" s="111">
        <f>VLOOKUP(E135,Professions!$DQ$1:$DX$203,3)</f>
        <v>-15</v>
      </c>
      <c r="G135" s="111" t="s">
        <v>389</v>
      </c>
      <c r="H135" s="111">
        <f>Stats!$I$14</f>
        <v>7</v>
      </c>
      <c r="I135" s="111"/>
      <c r="J135" s="111"/>
      <c r="K135" s="197">
        <f>F135+H135+I135+J135+$K$130</f>
        <v>-6.51</v>
      </c>
      <c r="M135" s="304"/>
      <c r="O135" s="80">
        <f t="shared" si="12"/>
        <v>0</v>
      </c>
      <c r="P135" s="115"/>
      <c r="Q135" s="305"/>
      <c r="Y135" s="80">
        <v>133</v>
      </c>
    </row>
    <row r="136" spans="1:25" ht="12.75" customHeight="1" x14ac:dyDescent="0.2">
      <c r="A136" s="424" t="s">
        <v>366</v>
      </c>
      <c r="B136" s="424"/>
      <c r="C136" s="106" t="s">
        <v>4015</v>
      </c>
      <c r="D136" s="106" t="s">
        <v>4016</v>
      </c>
      <c r="E136" s="106" t="s">
        <v>367</v>
      </c>
      <c r="F136" s="106" t="s">
        <v>368</v>
      </c>
      <c r="G136" s="106" t="s">
        <v>369</v>
      </c>
      <c r="H136" s="292" t="s">
        <v>370</v>
      </c>
      <c r="I136" s="106" t="s">
        <v>371</v>
      </c>
      <c r="J136" s="293" t="s">
        <v>205</v>
      </c>
      <c r="K136" s="293" t="s">
        <v>207</v>
      </c>
      <c r="M136" s="304"/>
      <c r="O136" s="80" t="s">
        <v>367</v>
      </c>
      <c r="P136" s="115"/>
      <c r="Q136" s="305"/>
      <c r="Y136" s="80">
        <v>134</v>
      </c>
    </row>
    <row r="137" spans="1:25" ht="12.75" customHeight="1" x14ac:dyDescent="0.2">
      <c r="A137" s="327" t="s">
        <v>527</v>
      </c>
      <c r="B137" s="328"/>
      <c r="C137" s="180" t="str">
        <f>HLOOKUP(Stats!$B$5,Professions!$E$2:$DD$57,18,0)</f>
        <v>2/6</v>
      </c>
      <c r="D137" s="226" t="str">
        <f>IF(Stats!$B$6="","",HLOOKUP(Stats!$B$6,Professions!$E$2:$DD$57,18,0))</f>
        <v>2/7</v>
      </c>
      <c r="E137" s="157"/>
      <c r="F137" s="157">
        <f>VLOOKUP(E137,Professions!$DQ$1:$DX$203,2)</f>
        <v>-15</v>
      </c>
      <c r="G137" s="157" t="s">
        <v>394</v>
      </c>
      <c r="H137" s="157">
        <f>Stats!I20+Stats!I21</f>
        <v>7</v>
      </c>
      <c r="I137" s="303">
        <f>IF(Stats!$M$4="",HLOOKUP(Stats!$B$5,Professions!$F$59:$DD$114,Professions!$DF$19,0),((HLOOKUP(Stats!$B$5,Professions!$F$59:$DD$114,Professions!$DF$19,0)+HLOOKUP(Stats!$B$6,Professions!$F$59:$DD$114,Professions!$DF$19,0))/2-0.01))</f>
        <v>-0.01</v>
      </c>
      <c r="J137" s="157"/>
      <c r="K137" s="329">
        <f>F137+H137+I137+J137</f>
        <v>-8.01</v>
      </c>
      <c r="M137" s="304"/>
      <c r="O137" s="80">
        <f t="shared" ref="O137:O200" si="14">E137+M137</f>
        <v>0</v>
      </c>
      <c r="P137" s="115"/>
      <c r="Q137" s="305"/>
      <c r="Y137" s="80">
        <v>135</v>
      </c>
    </row>
    <row r="138" spans="1:25" ht="12.75" customHeight="1" x14ac:dyDescent="0.2">
      <c r="A138" s="179"/>
      <c r="B138" s="257" t="s">
        <v>528</v>
      </c>
      <c r="C138" s="111" t="str">
        <f>HLOOKUP(Stats!$B$5,Professions!$E$2:$DD$57,18,0)</f>
        <v>2/6</v>
      </c>
      <c r="D138" s="111" t="str">
        <f>IF(Stats!$B$6="","",HLOOKUP(Stats!$B$6,Professions!$E$2:$DD$57,18,0))</f>
        <v>2/7</v>
      </c>
      <c r="E138" s="111"/>
      <c r="F138" s="111">
        <f>VLOOKUP(E138,Professions!$DQ$1:$DX$203,3)</f>
        <v>-15</v>
      </c>
      <c r="G138" s="111" t="s">
        <v>445</v>
      </c>
      <c r="H138" s="111">
        <f>Stats!$I$22</f>
        <v>10</v>
      </c>
      <c r="I138" s="111"/>
      <c r="J138" s="111"/>
      <c r="K138" s="197">
        <f t="shared" ref="K138:K146" si="15">F138+H138+I138+J138+$K$137</f>
        <v>-13.01</v>
      </c>
      <c r="M138" s="304"/>
      <c r="O138" s="80">
        <f t="shared" si="14"/>
        <v>0</v>
      </c>
      <c r="P138" s="115"/>
      <c r="Q138" s="305"/>
      <c r="Y138" s="80">
        <v>136</v>
      </c>
    </row>
    <row r="139" spans="1:25" ht="12.75" customHeight="1" x14ac:dyDescent="0.2">
      <c r="A139" s="111"/>
      <c r="B139" s="246" t="s">
        <v>529</v>
      </c>
      <c r="C139" s="111" t="str">
        <f>HLOOKUP(Stats!$B$5,Professions!$E$2:$DD$57,18,0)</f>
        <v>2/6</v>
      </c>
      <c r="D139" s="111" t="str">
        <f>IF(Stats!$B$6="","",HLOOKUP(Stats!$B$6,Professions!$E$2:$DD$57,18,0))</f>
        <v>2/7</v>
      </c>
      <c r="E139" s="111"/>
      <c r="F139" s="111">
        <f>VLOOKUP(E139,Professions!$DQ$1:$DX$203,3)</f>
        <v>-15</v>
      </c>
      <c r="G139" s="111" t="s">
        <v>445</v>
      </c>
      <c r="H139" s="111">
        <f>Stats!$I$22</f>
        <v>10</v>
      </c>
      <c r="I139" s="111"/>
      <c r="J139" s="111"/>
      <c r="K139" s="197">
        <f t="shared" si="15"/>
        <v>-13.01</v>
      </c>
      <c r="M139" s="304"/>
      <c r="O139" s="80">
        <f t="shared" si="14"/>
        <v>0</v>
      </c>
      <c r="P139" s="115"/>
      <c r="Q139" s="305"/>
      <c r="Y139" s="80">
        <v>137</v>
      </c>
    </row>
    <row r="140" spans="1:25" ht="12.75" customHeight="1" x14ac:dyDescent="0.2">
      <c r="A140" s="111"/>
      <c r="B140" s="246" t="s">
        <v>530</v>
      </c>
      <c r="C140" s="111" t="str">
        <f>HLOOKUP(Stats!$B$5,Professions!$E$2:$DD$57,18,0)</f>
        <v>2/6</v>
      </c>
      <c r="D140" s="111" t="str">
        <f>IF(Stats!$B$6="","",HLOOKUP(Stats!$B$6,Professions!$E$2:$DD$57,18,0))</f>
        <v>2/7</v>
      </c>
      <c r="E140" s="111"/>
      <c r="F140" s="111">
        <f>VLOOKUP(E140,Professions!$DQ$1:$DX$203,3)</f>
        <v>-15</v>
      </c>
      <c r="G140" s="111" t="s">
        <v>445</v>
      </c>
      <c r="H140" s="111">
        <f>Stats!$I$22</f>
        <v>10</v>
      </c>
      <c r="I140" s="111"/>
      <c r="J140" s="111"/>
      <c r="K140" s="197">
        <f t="shared" si="15"/>
        <v>-13.01</v>
      </c>
      <c r="M140" s="304"/>
      <c r="O140" s="80">
        <f t="shared" si="14"/>
        <v>0</v>
      </c>
      <c r="P140" s="115"/>
      <c r="Q140" s="305"/>
      <c r="Y140" s="80">
        <v>138</v>
      </c>
    </row>
    <row r="141" spans="1:25" ht="12.75" customHeight="1" x14ac:dyDescent="0.2">
      <c r="A141" s="111"/>
      <c r="B141" s="246" t="s">
        <v>531</v>
      </c>
      <c r="C141" s="111" t="str">
        <f>HLOOKUP(Stats!$B$5,Professions!$E$2:$DD$57,18,0)</f>
        <v>2/6</v>
      </c>
      <c r="D141" s="111" t="str">
        <f>IF(Stats!$B$6="","",HLOOKUP(Stats!$B$6,Professions!$E$2:$DD$57,18,0))</f>
        <v>2/7</v>
      </c>
      <c r="E141" s="111"/>
      <c r="F141" s="111">
        <f>VLOOKUP(E141,Professions!$DQ$1:$DX$203,3)</f>
        <v>-15</v>
      </c>
      <c r="G141" s="111" t="s">
        <v>220</v>
      </c>
      <c r="H141" s="111">
        <f>Stats!$I$15</f>
        <v>7</v>
      </c>
      <c r="I141" s="111"/>
      <c r="J141" s="111"/>
      <c r="K141" s="197">
        <f t="shared" si="15"/>
        <v>-16.009999999999998</v>
      </c>
      <c r="M141" s="304"/>
      <c r="O141" s="80">
        <f t="shared" si="14"/>
        <v>0</v>
      </c>
      <c r="P141" s="115"/>
      <c r="Q141" s="305"/>
      <c r="Y141" s="80">
        <v>139</v>
      </c>
    </row>
    <row r="142" spans="1:25" ht="12.75" customHeight="1" x14ac:dyDescent="0.2">
      <c r="A142" s="111"/>
      <c r="B142" s="246" t="s">
        <v>532</v>
      </c>
      <c r="C142" s="111" t="str">
        <f>HLOOKUP(Stats!$B$5,Professions!$E$2:$DD$57,18,0)</f>
        <v>2/6</v>
      </c>
      <c r="D142" s="111" t="str">
        <f>IF(Stats!$B$6="","",HLOOKUP(Stats!$B$6,Professions!$E$2:$DD$57,18,0))</f>
        <v>2/7</v>
      </c>
      <c r="E142" s="111"/>
      <c r="F142" s="111">
        <f>VLOOKUP(E142,Professions!$DQ$1:$DX$203,3)</f>
        <v>-15</v>
      </c>
      <c r="G142" s="111" t="s">
        <v>409</v>
      </c>
      <c r="H142" s="111">
        <f>Stats!$I$20</f>
        <v>2</v>
      </c>
      <c r="I142" s="111"/>
      <c r="J142" s="111"/>
      <c r="K142" s="197">
        <f t="shared" si="15"/>
        <v>-21.009999999999998</v>
      </c>
      <c r="M142" s="304"/>
      <c r="O142" s="80">
        <f t="shared" si="14"/>
        <v>0</v>
      </c>
      <c r="P142" s="115"/>
      <c r="Q142" s="305"/>
      <c r="Y142" s="80">
        <v>140</v>
      </c>
    </row>
    <row r="143" spans="1:25" ht="12.75" customHeight="1" x14ac:dyDescent="0.2">
      <c r="A143" s="111"/>
      <c r="B143" s="246" t="s">
        <v>533</v>
      </c>
      <c r="C143" s="111" t="str">
        <f>HLOOKUP(Stats!$B$5,Professions!$E$2:$DD$57,18,0)</f>
        <v>2/6</v>
      </c>
      <c r="D143" s="111" t="str">
        <f>IF(Stats!$B$6="","",HLOOKUP(Stats!$B$6,Professions!$E$2:$DD$57,18,0))</f>
        <v>2/7</v>
      </c>
      <c r="E143" s="111"/>
      <c r="F143" s="111">
        <f>VLOOKUP(E143,Professions!$DQ$1:$DX$203,3)</f>
        <v>-15</v>
      </c>
      <c r="G143" s="111" t="s">
        <v>413</v>
      </c>
      <c r="H143" s="111">
        <f>Stats!I17</f>
        <v>0</v>
      </c>
      <c r="I143" s="111"/>
      <c r="J143" s="111"/>
      <c r="K143" s="197">
        <f t="shared" si="15"/>
        <v>-23.009999999999998</v>
      </c>
      <c r="M143" s="304"/>
      <c r="O143" s="80">
        <f t="shared" si="14"/>
        <v>0</v>
      </c>
      <c r="P143" s="115"/>
      <c r="Q143" s="305"/>
      <c r="Y143" s="80">
        <v>141</v>
      </c>
    </row>
    <row r="144" spans="1:25" ht="12.75" customHeight="1" x14ac:dyDescent="0.2">
      <c r="A144" s="111"/>
      <c r="B144" s="246" t="s">
        <v>534</v>
      </c>
      <c r="C144" s="111" t="str">
        <f>HLOOKUP(Stats!$B$5,Professions!$E$2:$DD$57,18,0)</f>
        <v>2/6</v>
      </c>
      <c r="D144" s="111" t="str">
        <f>IF(Stats!$B$6="","",HLOOKUP(Stats!$B$6,Professions!$E$2:$DD$57,18,0))</f>
        <v>2/7</v>
      </c>
      <c r="E144" s="111"/>
      <c r="F144" s="111">
        <f>VLOOKUP(E144,Professions!$DQ$1:$DX$203,3)</f>
        <v>-15</v>
      </c>
      <c r="G144" s="111" t="s">
        <v>445</v>
      </c>
      <c r="H144" s="111">
        <f>Stats!$I$22</f>
        <v>10</v>
      </c>
      <c r="I144" s="111"/>
      <c r="J144" s="111"/>
      <c r="K144" s="197">
        <f t="shared" si="15"/>
        <v>-13.01</v>
      </c>
      <c r="M144" s="304"/>
      <c r="O144" s="80">
        <f t="shared" si="14"/>
        <v>0</v>
      </c>
      <c r="P144" s="115"/>
      <c r="Q144" s="305"/>
      <c r="Y144" s="80">
        <v>142</v>
      </c>
    </row>
    <row r="145" spans="1:25" ht="12.75" customHeight="1" x14ac:dyDescent="0.2">
      <c r="A145" s="111"/>
      <c r="B145" s="246" t="s">
        <v>535</v>
      </c>
      <c r="C145" s="111" t="str">
        <f>HLOOKUP(Stats!$B$5,Professions!$E$2:$DD$57,18,0)</f>
        <v>2/6</v>
      </c>
      <c r="D145" s="111" t="str">
        <f>IF(Stats!$B$6="","",HLOOKUP(Stats!$B$6,Professions!$E$2:$DD$57,18,0))</f>
        <v>2/7</v>
      </c>
      <c r="E145" s="111"/>
      <c r="F145" s="111">
        <f>VLOOKUP(E145,Professions!$DQ$1:$DX$203,3)</f>
        <v>-15</v>
      </c>
      <c r="G145" s="111" t="s">
        <v>445</v>
      </c>
      <c r="H145" s="111">
        <f>Stats!$I$22</f>
        <v>10</v>
      </c>
      <c r="I145" s="111"/>
      <c r="J145" s="111"/>
      <c r="K145" s="197">
        <f t="shared" si="15"/>
        <v>-13.01</v>
      </c>
      <c r="M145" s="304"/>
      <c r="O145" s="80">
        <f t="shared" si="14"/>
        <v>0</v>
      </c>
      <c r="P145" s="115"/>
      <c r="Q145" s="305"/>
      <c r="Y145" s="80">
        <v>143</v>
      </c>
    </row>
    <row r="146" spans="1:25" ht="12.75" customHeight="1" x14ac:dyDescent="0.2">
      <c r="A146" s="148"/>
      <c r="B146" s="309" t="s">
        <v>536</v>
      </c>
      <c r="C146" s="111" t="str">
        <f>HLOOKUP(Stats!$B$5,Professions!$E$2:$DD$57,18,0)</f>
        <v>2/6</v>
      </c>
      <c r="D146" s="111" t="str">
        <f>IF(Stats!$B$6="","",HLOOKUP(Stats!$B$6,Professions!$E$2:$DD$57,18,0))</f>
        <v>2/7</v>
      </c>
      <c r="E146" s="111"/>
      <c r="F146" s="111">
        <f>VLOOKUP(E146,Professions!$DQ$1:$DX$203,3)</f>
        <v>-15</v>
      </c>
      <c r="G146" s="111" t="s">
        <v>220</v>
      </c>
      <c r="H146" s="111">
        <f>Stats!$I$15</f>
        <v>7</v>
      </c>
      <c r="I146" s="111"/>
      <c r="J146" s="111"/>
      <c r="K146" s="197">
        <f t="shared" si="15"/>
        <v>-16.009999999999998</v>
      </c>
      <c r="M146" s="304"/>
      <c r="O146" s="80">
        <f t="shared" si="14"/>
        <v>0</v>
      </c>
      <c r="P146" s="115"/>
      <c r="Q146" s="305"/>
      <c r="Y146" s="80">
        <v>144</v>
      </c>
    </row>
    <row r="147" spans="1:25" ht="12.75" customHeight="1" x14ac:dyDescent="0.2">
      <c r="A147" s="244" t="s">
        <v>537</v>
      </c>
      <c r="B147" s="204"/>
      <c r="C147" s="226" t="str">
        <f>HLOOKUP(Stats!$B$5,Professions!$E$2:$DD$57,19,0)</f>
        <v>1/3</v>
      </c>
      <c r="D147" s="226" t="str">
        <f>IF(Stats!$B$6="","",HLOOKUP(Stats!$B$6,Professions!$E$2:$DD$57,19,0))</f>
        <v>1/3</v>
      </c>
      <c r="E147" s="302"/>
      <c r="F147" s="302">
        <f>VLOOKUP(E147,Professions!$DQ$1:$DX$203,2)</f>
        <v>-15</v>
      </c>
      <c r="G147" s="302" t="s">
        <v>538</v>
      </c>
      <c r="H147" s="302">
        <f>Stats!$I$17+Stats!$I$16</f>
        <v>0</v>
      </c>
      <c r="I147" s="303">
        <f>IF(Stats!$M$4="",HLOOKUP(Stats!$B$5,Professions!$F$59:$DD$114,Professions!$DF$20,0),((HLOOKUP(Stats!$B$5,Professions!$F$59:$DD$114,Professions!$DF$20,0)+HLOOKUP(Stats!$B$6,Professions!$F$59:$DD$114,Professions!$DF$20,0))/2-0.01))</f>
        <v>-0.01</v>
      </c>
      <c r="J147" s="302"/>
      <c r="K147" s="303">
        <f>F147+H147+I147+J147</f>
        <v>-15.01</v>
      </c>
      <c r="M147" s="304"/>
      <c r="O147" s="80">
        <f t="shared" si="14"/>
        <v>0</v>
      </c>
      <c r="P147" s="115"/>
      <c r="Q147" s="305">
        <f>HLOOKUP(Stats!$B$2,Races!$AK$4:$EH$50,Races!EH23,0)</f>
        <v>3</v>
      </c>
      <c r="Y147" s="80">
        <v>145</v>
      </c>
    </row>
    <row r="148" spans="1:25" ht="12.75" customHeight="1" x14ac:dyDescent="0.2">
      <c r="A148" s="179"/>
      <c r="B148" s="257" t="s">
        <v>540</v>
      </c>
      <c r="C148" s="111" t="str">
        <f>HLOOKUP(Stats!$B$5,Professions!$E$2:$DD$57,19,0)</f>
        <v>1/3</v>
      </c>
      <c r="D148" s="111" t="str">
        <f>IF(Stats!$B$6="","",HLOOKUP(Stats!$B$6,Professions!$E$2:$DD$57,19,0))</f>
        <v>1/3</v>
      </c>
      <c r="E148" s="111"/>
      <c r="F148" s="111">
        <f>VLOOKUP(E148,Professions!$DQ$1:$DX$203,3)</f>
        <v>-15</v>
      </c>
      <c r="G148" s="111" t="s">
        <v>399</v>
      </c>
      <c r="H148" s="111">
        <f>Stats!$I$16</f>
        <v>0</v>
      </c>
      <c r="I148" s="111"/>
      <c r="J148" s="111"/>
      <c r="K148" s="197">
        <f t="shared" ref="K148:K157" si="16">F148+H148+I148+J148+$K$147</f>
        <v>-30.009999999999998</v>
      </c>
      <c r="M148" s="304"/>
      <c r="O148" s="80">
        <f t="shared" si="14"/>
        <v>0</v>
      </c>
      <c r="P148" s="115"/>
      <c r="Q148" s="305">
        <f>HLOOKUP(Stats!$B$2,Races!$AK$4:$EH$50,Races!EH24,0)</f>
        <v>3</v>
      </c>
      <c r="Y148" s="80">
        <v>146</v>
      </c>
    </row>
    <row r="149" spans="1:25" ht="12.75" customHeight="1" x14ac:dyDescent="0.2">
      <c r="A149" s="179"/>
      <c r="B149" s="257" t="s">
        <v>4127</v>
      </c>
      <c r="C149" s="111" t="str">
        <f>HLOOKUP(Stats!$B$5,Professions!$E$2:$DD$57,19,0)</f>
        <v>1/3</v>
      </c>
      <c r="D149" s="111" t="str">
        <f>IF(Stats!$B$6="","",HLOOKUP(Stats!$B$6,Professions!$E$2:$DD$57,19,0))</f>
        <v>1/3</v>
      </c>
      <c r="E149" s="111"/>
      <c r="F149" s="111">
        <f>VLOOKUP(E149,Professions!$DQ$1:$DX$203,3)</f>
        <v>-15</v>
      </c>
      <c r="G149" s="111" t="s">
        <v>399</v>
      </c>
      <c r="H149" s="111">
        <f>Stats!$I$16</f>
        <v>0</v>
      </c>
      <c r="I149" s="111"/>
      <c r="J149" s="111"/>
      <c r="K149" s="197">
        <f t="shared" si="16"/>
        <v>-30.009999999999998</v>
      </c>
      <c r="M149" s="304"/>
      <c r="O149" s="80">
        <f t="shared" si="14"/>
        <v>0</v>
      </c>
      <c r="P149" s="115"/>
      <c r="Q149" s="305"/>
    </row>
    <row r="150" spans="1:25" ht="12.75" customHeight="1" x14ac:dyDescent="0.2">
      <c r="A150" s="111"/>
      <c r="B150" s="246" t="s">
        <v>541</v>
      </c>
      <c r="C150" s="111" t="str">
        <f>HLOOKUP(Stats!$B$5,Professions!$E$2:$DD$57,19,0)</f>
        <v>1/3</v>
      </c>
      <c r="D150" s="111" t="str">
        <f>IF(Stats!$B$6="","",HLOOKUP(Stats!$B$6,Professions!$E$2:$DD$57,19,0))</f>
        <v>1/3</v>
      </c>
      <c r="E150" s="111"/>
      <c r="F150" s="111">
        <f>VLOOKUP(E150,Professions!$DQ$1:$DX$203,3)</f>
        <v>-15</v>
      </c>
      <c r="G150" s="111" t="s">
        <v>462</v>
      </c>
      <c r="H150" s="111">
        <f>Stats!$I$21</f>
        <v>5</v>
      </c>
      <c r="I150" s="111"/>
      <c r="J150" s="111"/>
      <c r="K150" s="197">
        <f t="shared" si="16"/>
        <v>-25.009999999999998</v>
      </c>
      <c r="M150" s="304"/>
      <c r="O150" s="80">
        <f t="shared" si="14"/>
        <v>0</v>
      </c>
      <c r="P150" s="115"/>
      <c r="Q150" s="305"/>
      <c r="Y150" s="80">
        <v>147</v>
      </c>
    </row>
    <row r="151" spans="1:25" ht="12.75" customHeight="1" x14ac:dyDescent="0.2">
      <c r="A151" s="111"/>
      <c r="B151" s="246" t="s">
        <v>542</v>
      </c>
      <c r="C151" s="111" t="str">
        <f>HLOOKUP(Stats!$B$5,Professions!$E$2:$DD$57,19,0)</f>
        <v>1/3</v>
      </c>
      <c r="D151" s="111" t="str">
        <f>IF(Stats!$B$6="","",HLOOKUP(Stats!$B$6,Professions!$E$2:$DD$57,19,0))</f>
        <v>1/3</v>
      </c>
      <c r="E151" s="111"/>
      <c r="F151" s="111">
        <f>VLOOKUP(E151,Professions!$DQ$1:$DX$203,3)</f>
        <v>-15</v>
      </c>
      <c r="G151" s="111" t="s">
        <v>462</v>
      </c>
      <c r="H151" s="111">
        <f>Stats!$I$21</f>
        <v>5</v>
      </c>
      <c r="I151" s="111"/>
      <c r="J151" s="111"/>
      <c r="K151" s="197">
        <f t="shared" si="16"/>
        <v>-25.009999999999998</v>
      </c>
      <c r="M151" s="304"/>
      <c r="O151" s="80">
        <f t="shared" si="14"/>
        <v>0</v>
      </c>
      <c r="P151" s="115"/>
      <c r="Q151" s="305"/>
      <c r="Y151" s="80">
        <v>148</v>
      </c>
    </row>
    <row r="152" spans="1:25" ht="12.75" customHeight="1" x14ac:dyDescent="0.2">
      <c r="A152" s="111"/>
      <c r="B152" s="246" t="s">
        <v>543</v>
      </c>
      <c r="C152" s="111" t="str">
        <f>HLOOKUP(Stats!$B$5,Professions!$E$2:$DD$57,19,0)</f>
        <v>1/3</v>
      </c>
      <c r="D152" s="111" t="str">
        <f>IF(Stats!$B$6="","",HLOOKUP(Stats!$B$6,Professions!$E$2:$DD$57,19,0))</f>
        <v>1/3</v>
      </c>
      <c r="E152" s="111"/>
      <c r="F152" s="111">
        <f>VLOOKUP(E152,Professions!$DQ$1:$DX$203,3)</f>
        <v>-15</v>
      </c>
      <c r="G152" s="111" t="s">
        <v>399</v>
      </c>
      <c r="H152" s="111">
        <f>Stats!$I$16</f>
        <v>0</v>
      </c>
      <c r="I152" s="111"/>
      <c r="J152" s="111"/>
      <c r="K152" s="197">
        <f t="shared" si="16"/>
        <v>-30.009999999999998</v>
      </c>
      <c r="M152" s="304"/>
      <c r="O152" s="80">
        <f t="shared" si="14"/>
        <v>0</v>
      </c>
      <c r="P152" s="115"/>
      <c r="Q152" s="305"/>
      <c r="Y152" s="80">
        <v>149</v>
      </c>
    </row>
    <row r="153" spans="1:25" ht="12.75" customHeight="1" x14ac:dyDescent="0.2">
      <c r="A153" s="111"/>
      <c r="B153" s="246" t="s">
        <v>545</v>
      </c>
      <c r="C153" s="111" t="str">
        <f>HLOOKUP(Stats!$B$5,Professions!$E$2:$DD$57,19,0)</f>
        <v>1/3</v>
      </c>
      <c r="D153" s="111" t="str">
        <f>IF(Stats!$B$6="","",HLOOKUP(Stats!$B$6,Professions!$E$2:$DD$57,19,0))</f>
        <v>1/3</v>
      </c>
      <c r="E153" s="111"/>
      <c r="F153" s="111">
        <f>VLOOKUP(E153,Professions!$DQ$1:$DX$203,3)</f>
        <v>-15</v>
      </c>
      <c r="G153" s="111" t="s">
        <v>399</v>
      </c>
      <c r="H153" s="111">
        <f>Stats!$I$16</f>
        <v>0</v>
      </c>
      <c r="I153" s="111"/>
      <c r="J153" s="111"/>
      <c r="K153" s="197">
        <f t="shared" si="16"/>
        <v>-30.009999999999998</v>
      </c>
      <c r="M153" s="304"/>
      <c r="O153" s="80">
        <f t="shared" si="14"/>
        <v>0</v>
      </c>
      <c r="P153" s="115"/>
      <c r="Q153" s="305"/>
      <c r="Y153" s="80">
        <v>150</v>
      </c>
    </row>
    <row r="154" spans="1:25" ht="12.75" customHeight="1" x14ac:dyDescent="0.2">
      <c r="A154" s="111"/>
      <c r="B154" s="246" t="s">
        <v>546</v>
      </c>
      <c r="C154" s="111" t="str">
        <f>HLOOKUP(Stats!$B$5,Professions!$E$2:$DD$57,19,0)</f>
        <v>1/3</v>
      </c>
      <c r="D154" s="111" t="str">
        <f>IF(Stats!$B$6="","",HLOOKUP(Stats!$B$6,Professions!$E$2:$DD$57,19,0))</f>
        <v>1/3</v>
      </c>
      <c r="E154" s="111"/>
      <c r="F154" s="111">
        <f>VLOOKUP(E154,Professions!$DQ$1:$DX$203,3)</f>
        <v>-15</v>
      </c>
      <c r="G154" s="111" t="s">
        <v>445</v>
      </c>
      <c r="H154" s="111">
        <f>Stats!$I$22</f>
        <v>10</v>
      </c>
      <c r="I154" s="111"/>
      <c r="J154" s="111"/>
      <c r="K154" s="197">
        <f t="shared" si="16"/>
        <v>-20.009999999999998</v>
      </c>
      <c r="M154" s="304"/>
      <c r="O154" s="80">
        <f t="shared" si="14"/>
        <v>0</v>
      </c>
      <c r="P154" s="115"/>
      <c r="Q154" s="305"/>
      <c r="Y154" s="80">
        <v>151</v>
      </c>
    </row>
    <row r="155" spans="1:25" ht="12.75" customHeight="1" x14ac:dyDescent="0.2">
      <c r="A155" s="148"/>
      <c r="B155" s="309" t="s">
        <v>1322</v>
      </c>
      <c r="C155" s="111" t="str">
        <f>HLOOKUP(Stats!$B$5,Professions!$E$2:$DD$57,19,0)</f>
        <v>1/3</v>
      </c>
      <c r="D155" s="111" t="str">
        <f>IF(Stats!$B$6="","",HLOOKUP(Stats!$B$6,Professions!$E$2:$DD$57,19,0))</f>
        <v>1/3</v>
      </c>
      <c r="E155" s="111"/>
      <c r="F155" s="111">
        <f>VLOOKUP(E155,Professions!$DQ$1:$DX$203,3)</f>
        <v>-15</v>
      </c>
      <c r="G155" s="111" t="s">
        <v>399</v>
      </c>
      <c r="H155" s="111">
        <f>Stats!$I$16</f>
        <v>0</v>
      </c>
      <c r="I155" s="111"/>
      <c r="J155" s="111"/>
      <c r="K155" s="197">
        <f t="shared" si="16"/>
        <v>-30.009999999999998</v>
      </c>
      <c r="M155" s="304"/>
      <c r="O155" s="80">
        <f t="shared" si="14"/>
        <v>0</v>
      </c>
      <c r="P155" s="115"/>
      <c r="Q155" s="305">
        <f>HLOOKUP(Stats!$B$2,Races!$AK$4:$EH$50,Races!EH25,0)</f>
        <v>3</v>
      </c>
      <c r="Y155" s="80">
        <v>152</v>
      </c>
    </row>
    <row r="156" spans="1:25" ht="12.75" customHeight="1" x14ac:dyDescent="0.2">
      <c r="A156" s="269"/>
      <c r="B156" s="141" t="s">
        <v>4128</v>
      </c>
      <c r="C156" s="111" t="str">
        <f>HLOOKUP(Stats!$B$5,Professions!$E$2:$DD$57,19,0)</f>
        <v>1/3</v>
      </c>
      <c r="D156" s="111" t="str">
        <f>IF(Stats!$B$6="","",HLOOKUP(Stats!$B$6,Professions!$E$2:$DD$57,19,0))</f>
        <v>1/3</v>
      </c>
      <c r="E156" s="111"/>
      <c r="F156" s="111">
        <f>VLOOKUP(E156,Professions!$DQ$1:$DX$203,3)</f>
        <v>-15</v>
      </c>
      <c r="G156" s="111" t="s">
        <v>399</v>
      </c>
      <c r="H156" s="111">
        <f>Stats!$I$16</f>
        <v>0</v>
      </c>
      <c r="I156" s="111"/>
      <c r="J156" s="111"/>
      <c r="K156" s="197">
        <f t="shared" ref="K156" si="17">F156+H156+I156+J156+$K$147</f>
        <v>-30.009999999999998</v>
      </c>
      <c r="M156" s="304"/>
      <c r="O156" s="80">
        <f t="shared" si="14"/>
        <v>0</v>
      </c>
      <c r="P156" s="115"/>
      <c r="Q156" s="305"/>
    </row>
    <row r="157" spans="1:25" ht="12.75" customHeight="1" x14ac:dyDescent="0.2">
      <c r="A157" s="269"/>
      <c r="B157" s="312" t="s">
        <v>549</v>
      </c>
      <c r="C157" s="250" t="str">
        <f>HLOOKUP(Stats!$B$5,Professions!$E$2:$DD$57,19,0)</f>
        <v>1/3</v>
      </c>
      <c r="D157" s="111" t="str">
        <f>IF(Stats!$B$6="","",HLOOKUP(Stats!$B$6,Professions!$E$2:$DD$57,19,0))</f>
        <v>1/3</v>
      </c>
      <c r="E157" s="111"/>
      <c r="F157" s="111">
        <f>VLOOKUP(E157,Professions!$DQ$1:$DX$203,3)</f>
        <v>-15</v>
      </c>
      <c r="G157" s="111" t="s">
        <v>399</v>
      </c>
      <c r="H157" s="111">
        <f>Stats!$I$16</f>
        <v>0</v>
      </c>
      <c r="I157" s="111"/>
      <c r="J157" s="111"/>
      <c r="K157" s="197">
        <f t="shared" si="16"/>
        <v>-30.009999999999998</v>
      </c>
      <c r="M157" s="304"/>
      <c r="O157" s="80">
        <f t="shared" si="14"/>
        <v>0</v>
      </c>
      <c r="P157" s="115"/>
      <c r="Q157" s="305"/>
      <c r="Y157" s="80">
        <v>153</v>
      </c>
    </row>
    <row r="158" spans="1:25" ht="12.75" customHeight="1" x14ac:dyDescent="0.2">
      <c r="A158" s="327" t="s">
        <v>550</v>
      </c>
      <c r="B158" s="335"/>
      <c r="C158" s="226" t="str">
        <f>HLOOKUP(Stats!$B$5,Professions!$E$2:$DD$57,20,0)</f>
        <v>2/5</v>
      </c>
      <c r="D158" s="226" t="str">
        <f>IF(Stats!$B$6="","",HLOOKUP(Stats!$B$6,Professions!$E$2:$DD$57,20,0))</f>
        <v>6</v>
      </c>
      <c r="E158" s="302"/>
      <c r="F158" s="302">
        <f>VLOOKUP(E158,Professions!$DQ$1:$DX$203,2)</f>
        <v>-15</v>
      </c>
      <c r="G158" s="302" t="s">
        <v>538</v>
      </c>
      <c r="H158" s="302">
        <f>Stats!$I$17+Stats!$I$16</f>
        <v>0</v>
      </c>
      <c r="I158" s="303">
        <f>IF(Stats!$M$4="",HLOOKUP(Stats!$B$5,Professions!$F$59:$DD$114,Professions!$DF$21,0),((HLOOKUP(Stats!$B$5,Professions!$F$59:$DD$114,Professions!$DF$21,0)+HLOOKUP(Stats!$B$6,Professions!$F$59:$DD$114,Professions!$DF$21,0))/2-0.01))</f>
        <v>4.99</v>
      </c>
      <c r="J158" s="302"/>
      <c r="K158" s="303">
        <f>F158+H158+I158+J158</f>
        <v>-10.01</v>
      </c>
      <c r="M158" s="304"/>
      <c r="O158" s="80">
        <f t="shared" si="14"/>
        <v>0</v>
      </c>
      <c r="P158" s="115"/>
      <c r="Q158" s="305"/>
      <c r="Y158" s="80">
        <v>154</v>
      </c>
    </row>
    <row r="159" spans="1:25" ht="12.75" customHeight="1" x14ac:dyDescent="0.2">
      <c r="A159" s="336"/>
      <c r="B159" s="257" t="s">
        <v>551</v>
      </c>
      <c r="C159" s="111" t="str">
        <f>HLOOKUP(Stats!$B$5,Professions!$E$2:$DD$57,20,0)</f>
        <v>2/5</v>
      </c>
      <c r="D159" s="111" t="str">
        <f>IF(Stats!$B$6="","",HLOOKUP(Stats!$B$6,Professions!$E$2:$DD$57,20,0))</f>
        <v>6</v>
      </c>
      <c r="E159" s="111"/>
      <c r="F159" s="111">
        <f>VLOOKUP(E159,Professions!$DQ$1:$DX$203,3)</f>
        <v>-15</v>
      </c>
      <c r="G159" s="111" t="s">
        <v>399</v>
      </c>
      <c r="H159" s="111">
        <f>Stats!$I$16</f>
        <v>0</v>
      </c>
      <c r="I159" s="111"/>
      <c r="J159" s="111"/>
      <c r="K159" s="197">
        <f>F159+H159+I159+J159+$K$158</f>
        <v>-25.009999999999998</v>
      </c>
      <c r="M159" s="304"/>
      <c r="O159" s="80">
        <f t="shared" si="14"/>
        <v>0</v>
      </c>
      <c r="P159" s="115"/>
      <c r="Q159" s="305"/>
      <c r="Y159" s="80">
        <v>155</v>
      </c>
    </row>
    <row r="160" spans="1:25" ht="12.75" customHeight="1" x14ac:dyDescent="0.2">
      <c r="A160" s="171"/>
      <c r="B160" s="246" t="s">
        <v>552</v>
      </c>
      <c r="C160" s="111" t="str">
        <f>HLOOKUP(Stats!$B$5,Professions!$E$2:$DD$57,20,0)</f>
        <v>2/5</v>
      </c>
      <c r="D160" s="111" t="str">
        <f>IF(Stats!$B$6="","",HLOOKUP(Stats!$B$6,Professions!$E$2:$DD$57,20,0))</f>
        <v>6</v>
      </c>
      <c r="E160" s="111"/>
      <c r="F160" s="111">
        <f>VLOOKUP(E160,Professions!$DQ$1:$DX$203,3)</f>
        <v>-15</v>
      </c>
      <c r="G160" s="111" t="s">
        <v>399</v>
      </c>
      <c r="H160" s="111">
        <f>Stats!$I$16</f>
        <v>0</v>
      </c>
      <c r="I160" s="111"/>
      <c r="J160" s="111"/>
      <c r="K160" s="197">
        <f>F160+H160+I160+J160+$K$158</f>
        <v>-25.009999999999998</v>
      </c>
      <c r="M160" s="304"/>
      <c r="O160" s="80">
        <f t="shared" si="14"/>
        <v>0</v>
      </c>
      <c r="P160" s="115"/>
      <c r="Q160" s="305"/>
      <c r="Y160" s="80">
        <v>157</v>
      </c>
    </row>
    <row r="161" spans="1:25" ht="12.75" customHeight="1" x14ac:dyDescent="0.2">
      <c r="A161" s="171"/>
      <c r="B161" s="246" t="s">
        <v>553</v>
      </c>
      <c r="C161" s="111" t="str">
        <f>HLOOKUP(Stats!$B$5,Professions!$E$2:$DD$57,20,0)</f>
        <v>2/5</v>
      </c>
      <c r="D161" s="111" t="str">
        <f>IF(Stats!$B$6="","",HLOOKUP(Stats!$B$6,Professions!$E$2:$DD$57,20,0))</f>
        <v>6</v>
      </c>
      <c r="E161" s="111"/>
      <c r="F161" s="111">
        <f>VLOOKUP(E161,Professions!$DQ$1:$DX$203,3)</f>
        <v>-15</v>
      </c>
      <c r="G161" s="111" t="s">
        <v>399</v>
      </c>
      <c r="H161" s="111">
        <f>Stats!$I$16</f>
        <v>0</v>
      </c>
      <c r="I161" s="111"/>
      <c r="J161" s="111"/>
      <c r="K161" s="197">
        <f>F161+H161+I161+J161+$K$158</f>
        <v>-25.009999999999998</v>
      </c>
      <c r="M161" s="304"/>
      <c r="O161" s="80">
        <f t="shared" si="14"/>
        <v>0</v>
      </c>
      <c r="P161" s="115"/>
      <c r="Q161" s="305"/>
      <c r="Y161" s="80">
        <v>159</v>
      </c>
    </row>
    <row r="162" spans="1:25" ht="12.75" customHeight="1" x14ac:dyDescent="0.2">
      <c r="A162" s="337"/>
      <c r="B162" s="309" t="s">
        <v>4124</v>
      </c>
      <c r="C162" s="111" t="str">
        <f>HLOOKUP(Stats!$B$5,Professions!$E$2:$DD$57,20,0)</f>
        <v>2/5</v>
      </c>
      <c r="D162" s="111" t="str">
        <f>IF(Stats!$B$6="","",HLOOKUP(Stats!$B$6,Professions!$E$2:$DD$57,20,0))</f>
        <v>6</v>
      </c>
      <c r="E162" s="111"/>
      <c r="F162" s="111">
        <f>VLOOKUP(E162,Professions!$DQ$1:$DX$203,3)</f>
        <v>-15</v>
      </c>
      <c r="G162" s="111" t="s">
        <v>462</v>
      </c>
      <c r="H162" s="111">
        <f>Stats!$I$21</f>
        <v>5</v>
      </c>
      <c r="I162" s="111"/>
      <c r="J162" s="111"/>
      <c r="K162" s="197">
        <f>F162+H162+I162+J162+$K$158</f>
        <v>-20.009999999999998</v>
      </c>
      <c r="M162" s="304"/>
      <c r="O162" s="80">
        <f t="shared" si="14"/>
        <v>0</v>
      </c>
      <c r="P162" s="115"/>
      <c r="Q162" s="305"/>
      <c r="Y162" s="80">
        <v>160</v>
      </c>
    </row>
    <row r="163" spans="1:25" ht="12.75" customHeight="1" x14ac:dyDescent="0.2">
      <c r="A163" s="244" t="s">
        <v>555</v>
      </c>
      <c r="B163" s="204"/>
      <c r="C163" s="226" t="str">
        <f>HLOOKUP(Stats!$B$5,Professions!$E$2:$DD$57,21,0)</f>
        <v>3/7</v>
      </c>
      <c r="D163" s="226" t="str">
        <f>IF(Stats!$B$6="","",HLOOKUP(Stats!$B$6,Professions!$E$2:$DD$57,21,0))</f>
        <v>3/7</v>
      </c>
      <c r="E163" s="302"/>
      <c r="F163" s="302">
        <f>VLOOKUP(E163,Professions!$DQ$1:$DX$203,2)</f>
        <v>-15</v>
      </c>
      <c r="G163" s="302" t="s">
        <v>538</v>
      </c>
      <c r="H163" s="302">
        <f>Stats!$I$17+Stats!$I$16</f>
        <v>0</v>
      </c>
      <c r="I163" s="303">
        <f>IF(Stats!$M$4="",HLOOKUP(Stats!$B$5,Professions!$F$59:$DD$114,Professions!$DF$22,0),((HLOOKUP(Stats!$B$5,Professions!$F$59:$DD$114,Professions!$DF$22,0)+HLOOKUP(Stats!$B$6,Professions!$F$59:$DD$114,Professions!$DF$22,0))/2-0.01))</f>
        <v>-0.01</v>
      </c>
      <c r="J163" s="302"/>
      <c r="K163" s="303">
        <f>F163+H163+I163+J163</f>
        <v>-15.01</v>
      </c>
      <c r="M163" s="304"/>
      <c r="O163" s="80">
        <f t="shared" si="14"/>
        <v>0</v>
      </c>
      <c r="P163" s="115"/>
      <c r="Q163" s="305"/>
      <c r="Y163" s="80">
        <v>161</v>
      </c>
    </row>
    <row r="164" spans="1:25" ht="12.75" customHeight="1" x14ac:dyDescent="0.2">
      <c r="A164" s="179"/>
      <c r="B164" s="257" t="s">
        <v>556</v>
      </c>
      <c r="C164" s="111" t="str">
        <f>HLOOKUP(Stats!$B$5,Professions!$E$2:$DD$57,21,0)</f>
        <v>3/7</v>
      </c>
      <c r="D164" s="111" t="str">
        <f>IF(Stats!$B$6="","",HLOOKUP(Stats!$B$6,Professions!$E$2:$DD$57,21,0))</f>
        <v>3/7</v>
      </c>
      <c r="E164" s="111"/>
      <c r="F164" s="111">
        <f>VLOOKUP(E164,Professions!$DQ$1:$DX$203,3)</f>
        <v>-15</v>
      </c>
      <c r="G164" s="111" t="s">
        <v>399</v>
      </c>
      <c r="H164" s="111">
        <f>Stats!$I$16</f>
        <v>0</v>
      </c>
      <c r="I164" s="111"/>
      <c r="J164" s="111"/>
      <c r="K164" s="197">
        <f>F164+H164+I164+J164+$K$163</f>
        <v>-30.009999999999998</v>
      </c>
      <c r="M164" s="304"/>
      <c r="O164" s="80">
        <f t="shared" si="14"/>
        <v>0</v>
      </c>
      <c r="P164" s="115"/>
      <c r="Q164" s="305"/>
      <c r="Y164" s="80">
        <v>162</v>
      </c>
    </row>
    <row r="165" spans="1:25" ht="12.75" customHeight="1" x14ac:dyDescent="0.2">
      <c r="A165" s="111"/>
      <c r="B165" s="246" t="s">
        <v>557</v>
      </c>
      <c r="C165" s="111" t="str">
        <f>HLOOKUP(Stats!$B$5,Professions!$E$2:$DD$57,21,0)</f>
        <v>3/7</v>
      </c>
      <c r="D165" s="111" t="str">
        <f>IF(Stats!$B$6="","",HLOOKUP(Stats!$B$6,Professions!$E$2:$DD$57,21,0))</f>
        <v>3/7</v>
      </c>
      <c r="E165" s="111"/>
      <c r="F165" s="111">
        <f>VLOOKUP(E165,Professions!$DQ$1:$DX$203,3)</f>
        <v>-15</v>
      </c>
      <c r="G165" s="111" t="s">
        <v>399</v>
      </c>
      <c r="H165" s="111">
        <f>Stats!$I$16</f>
        <v>0</v>
      </c>
      <c r="I165" s="111"/>
      <c r="J165" s="111"/>
      <c r="K165" s="197">
        <f>F165+H165+I165+J165+$K$163</f>
        <v>-30.009999999999998</v>
      </c>
      <c r="M165" s="304"/>
      <c r="O165" s="80">
        <f t="shared" si="14"/>
        <v>0</v>
      </c>
      <c r="P165" s="115"/>
      <c r="Q165" s="305"/>
      <c r="Y165" s="80">
        <v>163</v>
      </c>
    </row>
    <row r="166" spans="1:25" ht="12.75" customHeight="1" x14ac:dyDescent="0.2">
      <c r="A166" s="111"/>
      <c r="B166" s="246" t="s">
        <v>558</v>
      </c>
      <c r="C166" s="111" t="str">
        <f>HLOOKUP(Stats!$B$5,Professions!$E$2:$DD$57,21,0)</f>
        <v>3/7</v>
      </c>
      <c r="D166" s="111" t="str">
        <f>IF(Stats!$B$6="","",HLOOKUP(Stats!$B$6,Professions!$E$2:$DD$57,21,0))</f>
        <v>3/7</v>
      </c>
      <c r="E166" s="111"/>
      <c r="F166" s="111">
        <f>VLOOKUP(E166,Professions!$DQ$1:$DX$203,3)</f>
        <v>-15</v>
      </c>
      <c r="G166" s="111" t="s">
        <v>399</v>
      </c>
      <c r="H166" s="111">
        <f>Stats!$I$16</f>
        <v>0</v>
      </c>
      <c r="I166" s="111"/>
      <c r="J166" s="111"/>
      <c r="K166" s="197">
        <f>F166+H166+I166+J166+$K$163</f>
        <v>-30.009999999999998</v>
      </c>
      <c r="M166" s="304"/>
      <c r="O166" s="80">
        <f t="shared" si="14"/>
        <v>0</v>
      </c>
      <c r="P166" s="115"/>
      <c r="Q166" s="305"/>
      <c r="Y166" s="80">
        <v>164</v>
      </c>
    </row>
    <row r="167" spans="1:25" ht="12.75" customHeight="1" x14ac:dyDescent="0.2">
      <c r="A167" s="148"/>
      <c r="B167" s="309" t="s">
        <v>559</v>
      </c>
      <c r="C167" s="111" t="str">
        <f>HLOOKUP(Stats!$B$5,Professions!$E$2:$DD$57,21,0)</f>
        <v>3/7</v>
      </c>
      <c r="D167" s="111" t="str">
        <f>IF(Stats!$B$6="","",HLOOKUP(Stats!$B$6,Professions!$E$2:$DD$57,21,0))</f>
        <v>3/7</v>
      </c>
      <c r="E167" s="111"/>
      <c r="F167" s="111">
        <f>VLOOKUP(E167,Professions!$DQ$1:$DX$203,3)</f>
        <v>-15</v>
      </c>
      <c r="G167" s="111" t="s">
        <v>399</v>
      </c>
      <c r="H167" s="111">
        <f>Stats!$I$16</f>
        <v>0</v>
      </c>
      <c r="I167" s="111"/>
      <c r="J167" s="111"/>
      <c r="K167" s="197">
        <f>F167+H167+I167+J167+$K$163</f>
        <v>-30.009999999999998</v>
      </c>
      <c r="M167" s="304"/>
      <c r="O167" s="80">
        <f t="shared" si="14"/>
        <v>0</v>
      </c>
      <c r="P167" s="115"/>
      <c r="Q167" s="305"/>
      <c r="Y167" s="80">
        <v>165</v>
      </c>
    </row>
    <row r="168" spans="1:25" ht="12.75" customHeight="1" x14ac:dyDescent="0.2">
      <c r="A168" s="244" t="s">
        <v>560</v>
      </c>
      <c r="B168" s="204"/>
      <c r="C168" s="226" t="str">
        <f>HLOOKUP(Stats!$B$5,Professions!$E$2:$DD$57,22,0)</f>
        <v>2/6</v>
      </c>
      <c r="D168" s="226" t="str">
        <f>IF(Stats!$B$6="","",HLOOKUP(Stats!$B$6,Professions!$E$2:$DD$57,22,0))</f>
        <v>2/6</v>
      </c>
      <c r="E168" s="302"/>
      <c r="F168" s="302">
        <f>VLOOKUP(E168,Professions!$DQ$1:$DX$203,2)</f>
        <v>-15</v>
      </c>
      <c r="G168" s="302" t="s">
        <v>538</v>
      </c>
      <c r="H168" s="302">
        <f>Stats!$I$17+Stats!$I$16</f>
        <v>0</v>
      </c>
      <c r="I168" s="303">
        <f>IF(Stats!$M$4="",HLOOKUP(Stats!$B$5,Professions!$F$59:$DD$114,Professions!$DF$23,0),((HLOOKUP(Stats!$B$5,Professions!$F$59:$DD$114,Professions!$DF$23,0)+HLOOKUP(Stats!$B$6,Professions!$F$59:$DD$114,Professions!$DF$23,0))/2-0.01))</f>
        <v>-0.01</v>
      </c>
      <c r="J168" s="302"/>
      <c r="K168" s="303">
        <f>F168+H168+I168+J168</f>
        <v>-15.01</v>
      </c>
      <c r="M168" s="304"/>
      <c r="O168" s="80">
        <f t="shared" si="14"/>
        <v>0</v>
      </c>
      <c r="P168" s="115"/>
      <c r="Q168" s="305"/>
      <c r="Y168" s="80">
        <v>166</v>
      </c>
    </row>
    <row r="169" spans="1:25" ht="12.75" customHeight="1" x14ac:dyDescent="0.2">
      <c r="A169" s="179"/>
      <c r="B169" s="257" t="s">
        <v>561</v>
      </c>
      <c r="C169" s="111" t="str">
        <f>HLOOKUP(Stats!$B$5,Professions!$E$2:$DD$57,22,0)</f>
        <v>2/6</v>
      </c>
      <c r="D169" s="111" t="str">
        <f>IF(Stats!$B$6="","",HLOOKUP(Stats!$B$6,Professions!$E$2:$DD$57,22,0))</f>
        <v>2/6</v>
      </c>
      <c r="E169" s="111"/>
      <c r="F169" s="111">
        <f>VLOOKUP(E169,Professions!$DQ$1:$DX$203,3)</f>
        <v>-15</v>
      </c>
      <c r="G169" s="111" t="s">
        <v>399</v>
      </c>
      <c r="H169" s="111">
        <f>Stats!$I$16</f>
        <v>0</v>
      </c>
      <c r="I169" s="111"/>
      <c r="J169" s="111"/>
      <c r="K169" s="197">
        <f t="shared" ref="K169:K174" si="18">F169+H169+I169+J169+$K$168</f>
        <v>-30.009999999999998</v>
      </c>
      <c r="M169" s="304"/>
      <c r="O169" s="80">
        <f t="shared" si="14"/>
        <v>0</v>
      </c>
      <c r="P169" s="115"/>
      <c r="Q169" s="305"/>
      <c r="Y169" s="80">
        <v>167</v>
      </c>
    </row>
    <row r="170" spans="1:25" ht="12.75" customHeight="1" x14ac:dyDescent="0.2">
      <c r="A170" s="111"/>
      <c r="B170" s="246" t="s">
        <v>562</v>
      </c>
      <c r="C170" s="111" t="str">
        <f>HLOOKUP(Stats!$B$5,Professions!$E$2:$DD$57,22,0)</f>
        <v>2/6</v>
      </c>
      <c r="D170" s="111" t="str">
        <f>IF(Stats!$B$6="","",HLOOKUP(Stats!$B$6,Professions!$E$2:$DD$57,22,0))</f>
        <v>2/6</v>
      </c>
      <c r="E170" s="111"/>
      <c r="F170" s="111">
        <f>VLOOKUP(E170,Professions!$DQ$1:$DX$203,3)</f>
        <v>-15</v>
      </c>
      <c r="G170" s="111" t="s">
        <v>399</v>
      </c>
      <c r="H170" s="111">
        <f>Stats!$I$16</f>
        <v>0</v>
      </c>
      <c r="I170" s="111"/>
      <c r="J170" s="111"/>
      <c r="K170" s="197">
        <f t="shared" si="18"/>
        <v>-30.009999999999998</v>
      </c>
      <c r="M170" s="304"/>
      <c r="O170" s="80">
        <f t="shared" si="14"/>
        <v>0</v>
      </c>
      <c r="P170" s="115"/>
      <c r="Q170" s="305"/>
      <c r="Y170" s="80">
        <v>168</v>
      </c>
    </row>
    <row r="171" spans="1:25" ht="12.75" customHeight="1" x14ac:dyDescent="0.2">
      <c r="A171" s="111"/>
      <c r="B171" s="246" t="s">
        <v>563</v>
      </c>
      <c r="C171" s="111" t="str">
        <f>HLOOKUP(Stats!$B$5,Professions!$E$2:$DD$57,22,0)</f>
        <v>2/6</v>
      </c>
      <c r="D171" s="111" t="str">
        <f>IF(Stats!$B$6="","",HLOOKUP(Stats!$B$6,Professions!$E$2:$DD$57,22,0))</f>
        <v>2/6</v>
      </c>
      <c r="E171" s="111"/>
      <c r="F171" s="111">
        <f>VLOOKUP(E171,Professions!$DQ$1:$DX$203,3)</f>
        <v>-15</v>
      </c>
      <c r="G171" s="111" t="s">
        <v>399</v>
      </c>
      <c r="H171" s="111">
        <f>Stats!$I$16</f>
        <v>0</v>
      </c>
      <c r="I171" s="111"/>
      <c r="J171" s="111"/>
      <c r="K171" s="197">
        <f t="shared" si="18"/>
        <v>-30.009999999999998</v>
      </c>
      <c r="M171" s="304"/>
      <c r="O171" s="80">
        <f t="shared" si="14"/>
        <v>0</v>
      </c>
      <c r="P171" s="115"/>
      <c r="Q171" s="305"/>
      <c r="Y171" s="80">
        <v>169</v>
      </c>
    </row>
    <row r="172" spans="1:25" ht="12.75" customHeight="1" x14ac:dyDescent="0.2">
      <c r="A172" s="111"/>
      <c r="B172" s="246" t="s">
        <v>564</v>
      </c>
      <c r="C172" s="111" t="str">
        <f>HLOOKUP(Stats!$B$5,Professions!$E$2:$DD$57,22,0)</f>
        <v>2/6</v>
      </c>
      <c r="D172" s="111" t="str">
        <f>IF(Stats!$B$6="","",HLOOKUP(Stats!$B$6,Professions!$E$2:$DD$57,22,0))</f>
        <v>2/6</v>
      </c>
      <c r="E172" s="111"/>
      <c r="F172" s="111">
        <f>VLOOKUP(E172,Professions!$DQ$1:$DX$203,3)</f>
        <v>-15</v>
      </c>
      <c r="G172" s="111" t="s">
        <v>399</v>
      </c>
      <c r="H172" s="111">
        <f>Stats!$I$16</f>
        <v>0</v>
      </c>
      <c r="I172" s="111"/>
      <c r="J172" s="111"/>
      <c r="K172" s="197">
        <f t="shared" si="18"/>
        <v>-30.009999999999998</v>
      </c>
      <c r="M172" s="304"/>
      <c r="O172" s="80">
        <f t="shared" si="14"/>
        <v>0</v>
      </c>
      <c r="P172" s="115"/>
      <c r="Q172" s="305"/>
      <c r="Y172" s="80">
        <v>170</v>
      </c>
    </row>
    <row r="173" spans="1:25" ht="12.75" customHeight="1" x14ac:dyDescent="0.2">
      <c r="A173" s="111"/>
      <c r="B173" s="246" t="s">
        <v>565</v>
      </c>
      <c r="C173" s="111" t="str">
        <f>HLOOKUP(Stats!$B$5,Professions!$E$2:$DD$57,22,0)</f>
        <v>2/6</v>
      </c>
      <c r="D173" s="111" t="str">
        <f>IF(Stats!$B$6="","",HLOOKUP(Stats!$B$6,Professions!$E$2:$DD$57,22,0))</f>
        <v>2/6</v>
      </c>
      <c r="E173" s="111"/>
      <c r="F173" s="111">
        <f>VLOOKUP(E173,Professions!$DQ$1:$DX$203,3)</f>
        <v>-15</v>
      </c>
      <c r="G173" s="111" t="s">
        <v>399</v>
      </c>
      <c r="H173" s="111">
        <f>Stats!$I$16</f>
        <v>0</v>
      </c>
      <c r="I173" s="111"/>
      <c r="J173" s="111"/>
      <c r="K173" s="197">
        <f t="shared" si="18"/>
        <v>-30.009999999999998</v>
      </c>
      <c r="M173" s="304"/>
      <c r="O173" s="80">
        <f t="shared" si="14"/>
        <v>0</v>
      </c>
      <c r="P173" s="115"/>
      <c r="Q173" s="305"/>
      <c r="Y173" s="80">
        <v>171</v>
      </c>
    </row>
    <row r="174" spans="1:25" ht="12.75" customHeight="1" x14ac:dyDescent="0.2">
      <c r="A174" s="148"/>
      <c r="B174" s="309" t="s">
        <v>566</v>
      </c>
      <c r="C174" s="111" t="str">
        <f>HLOOKUP(Stats!$B$5,Professions!$E$2:$DD$57,22,0)</f>
        <v>2/6</v>
      </c>
      <c r="D174" s="111" t="str">
        <f>IF(Stats!$B$6="","",HLOOKUP(Stats!$B$6,Professions!$E$2:$DD$57,22,0))</f>
        <v>2/6</v>
      </c>
      <c r="E174" s="111"/>
      <c r="F174" s="111">
        <f>VLOOKUP(E174,Professions!$DQ$1:$DX$203,3)</f>
        <v>-15</v>
      </c>
      <c r="G174" s="111" t="s">
        <v>399</v>
      </c>
      <c r="H174" s="111">
        <f>Stats!$I$16</f>
        <v>0</v>
      </c>
      <c r="I174" s="111"/>
      <c r="J174" s="111"/>
      <c r="K174" s="197">
        <f t="shared" si="18"/>
        <v>-30.009999999999998</v>
      </c>
      <c r="M174" s="304"/>
      <c r="O174" s="80">
        <f t="shared" si="14"/>
        <v>0</v>
      </c>
      <c r="P174" s="115"/>
      <c r="Q174" s="305"/>
      <c r="Y174" s="80">
        <v>172</v>
      </c>
    </row>
    <row r="175" spans="1:25" ht="12.75" customHeight="1" x14ac:dyDescent="0.2">
      <c r="A175" s="244" t="s">
        <v>567</v>
      </c>
      <c r="B175" s="204"/>
      <c r="C175" s="226" t="str">
        <f>HLOOKUP(Stats!$B$5,Professions!$E$2:$DD$57,23,0)</f>
        <v>9</v>
      </c>
      <c r="D175" s="226" t="str">
        <f>IF(Stats!$B$6="","",HLOOKUP(Stats!$B$6,Professions!$E$2:$DD$57,23,0))</f>
        <v>3/5</v>
      </c>
      <c r="E175" s="302"/>
      <c r="F175" s="302">
        <f>VLOOKUP(E175,Professions!$DQ$1:$DX$203,2)</f>
        <v>-15</v>
      </c>
      <c r="G175" s="302" t="s">
        <v>381</v>
      </c>
      <c r="H175" s="302">
        <f>Stats!$I$18+Stats!$I$14</f>
        <v>16</v>
      </c>
      <c r="I175" s="303">
        <f>IF(Stats!$M$4="",HLOOKUP(Stats!$B$5,Professions!$F$59:$DD$114,Professions!$DF$24,0),((HLOOKUP(Stats!$B$5,Professions!$F$59:$DD$114,Professions!$DF$24,0)+HLOOKUP(Stats!$B$6,Professions!$F$59:$DD$114,Professions!$DF$24,0))/2-0.01))</f>
        <v>-0.01</v>
      </c>
      <c r="J175" s="302"/>
      <c r="K175" s="303">
        <f>F175+H175+I175+J175</f>
        <v>0.99</v>
      </c>
      <c r="M175" s="304"/>
      <c r="O175" s="80">
        <f t="shared" si="14"/>
        <v>0</v>
      </c>
      <c r="P175" s="115"/>
      <c r="Q175" s="305"/>
      <c r="Y175" s="80">
        <v>173</v>
      </c>
    </row>
    <row r="176" spans="1:25" ht="12.75" customHeight="1" x14ac:dyDescent="0.2">
      <c r="A176" s="179"/>
      <c r="B176" s="257" t="s">
        <v>568</v>
      </c>
      <c r="C176" s="111" t="str">
        <f>HLOOKUP(Stats!$B$5,Professions!$E$2:$DD$57,23,0)</f>
        <v>9</v>
      </c>
      <c r="D176" s="111" t="str">
        <f>IF(Stats!$B$6="","",HLOOKUP(Stats!$B$6,Professions!$E$2:$DD$57,23,0))</f>
        <v>3/5</v>
      </c>
      <c r="E176" s="111"/>
      <c r="F176" s="111">
        <f>VLOOKUP(E176,Professions!$DQ$1:$DX$203,3)</f>
        <v>-15</v>
      </c>
      <c r="G176" s="111" t="s">
        <v>384</v>
      </c>
      <c r="H176" s="111">
        <f>Stats!$I$18</f>
        <v>9</v>
      </c>
      <c r="I176" s="111"/>
      <c r="J176" s="111"/>
      <c r="K176" s="197">
        <f t="shared" ref="K176:K181" si="19">F176+H176+I176+J176+$K$175</f>
        <v>-5.01</v>
      </c>
      <c r="M176" s="304"/>
      <c r="O176" s="80">
        <f t="shared" si="14"/>
        <v>0</v>
      </c>
      <c r="P176" s="115"/>
      <c r="Q176" s="305"/>
      <c r="Y176" s="80">
        <v>174</v>
      </c>
    </row>
    <row r="177" spans="1:25" ht="12.75" customHeight="1" x14ac:dyDescent="0.2">
      <c r="A177" s="111"/>
      <c r="B177" s="246" t="s">
        <v>569</v>
      </c>
      <c r="C177" s="111" t="str">
        <f>HLOOKUP(Stats!$B$5,Professions!$E$2:$DD$57,23,0)</f>
        <v>9</v>
      </c>
      <c r="D177" s="111" t="str">
        <f>IF(Stats!$B$6="","",HLOOKUP(Stats!$B$6,Professions!$E$2:$DD$57,23,0))</f>
        <v>3/5</v>
      </c>
      <c r="E177" s="111"/>
      <c r="F177" s="111">
        <f>VLOOKUP(E177,Professions!$DQ$1:$DX$203,3)</f>
        <v>-15</v>
      </c>
      <c r="G177" s="111" t="s">
        <v>220</v>
      </c>
      <c r="H177" s="111">
        <f>Stats!$I$15</f>
        <v>7</v>
      </c>
      <c r="I177" s="111"/>
      <c r="J177" s="111"/>
      <c r="K177" s="197">
        <f t="shared" si="19"/>
        <v>-7.01</v>
      </c>
      <c r="M177" s="304"/>
      <c r="O177" s="80">
        <f t="shared" si="14"/>
        <v>0</v>
      </c>
      <c r="P177" s="115"/>
      <c r="Q177" s="305"/>
      <c r="Y177" s="80">
        <v>175</v>
      </c>
    </row>
    <row r="178" spans="1:25" ht="12.75" customHeight="1" x14ac:dyDescent="0.2">
      <c r="A178" s="111"/>
      <c r="B178" s="246" t="s">
        <v>570</v>
      </c>
      <c r="C178" s="111" t="str">
        <f>HLOOKUP(Stats!$B$5,Professions!$E$2:$DD$57,23,0)</f>
        <v>9</v>
      </c>
      <c r="D178" s="111" t="str">
        <f>IF(Stats!$B$6="","",HLOOKUP(Stats!$B$6,Professions!$E$2:$DD$57,23,0))</f>
        <v>3/5</v>
      </c>
      <c r="E178" s="111"/>
      <c r="F178" s="111">
        <f>VLOOKUP(E178,Professions!$DQ$1:$DX$203,3)</f>
        <v>-15</v>
      </c>
      <c r="G178" s="111" t="s">
        <v>220</v>
      </c>
      <c r="H178" s="111">
        <f>Stats!$I$15</f>
        <v>7</v>
      </c>
      <c r="I178" s="111"/>
      <c r="J178" s="111"/>
      <c r="K178" s="197">
        <f t="shared" si="19"/>
        <v>-7.01</v>
      </c>
      <c r="M178" s="304"/>
      <c r="O178" s="80">
        <f t="shared" si="14"/>
        <v>0</v>
      </c>
      <c r="P178" s="115"/>
      <c r="Q178" s="305"/>
      <c r="Y178" s="80">
        <v>176</v>
      </c>
    </row>
    <row r="179" spans="1:25" ht="12.75" customHeight="1" x14ac:dyDescent="0.2">
      <c r="A179" s="111"/>
      <c r="B179" s="246" t="s">
        <v>571</v>
      </c>
      <c r="C179" s="111" t="str">
        <f>HLOOKUP(Stats!$B$5,Professions!$E$2:$DD$57,23,0)</f>
        <v>9</v>
      </c>
      <c r="D179" s="111" t="str">
        <f>IF(Stats!$B$6="","",HLOOKUP(Stats!$B$6,Professions!$E$2:$DD$57,23,0))</f>
        <v>3/5</v>
      </c>
      <c r="E179" s="111"/>
      <c r="F179" s="111">
        <f>VLOOKUP(E179,Professions!$DQ$1:$DX$203,3)</f>
        <v>-15</v>
      </c>
      <c r="G179" s="111" t="s">
        <v>384</v>
      </c>
      <c r="H179" s="111">
        <f>Stats!$I$18</f>
        <v>9</v>
      </c>
      <c r="I179" s="111"/>
      <c r="J179" s="111"/>
      <c r="K179" s="197">
        <f t="shared" si="19"/>
        <v>-5.01</v>
      </c>
      <c r="M179" s="304"/>
      <c r="O179" s="80">
        <f t="shared" si="14"/>
        <v>0</v>
      </c>
      <c r="P179" s="115"/>
      <c r="Q179" s="305"/>
      <c r="Y179" s="80">
        <v>177</v>
      </c>
    </row>
    <row r="180" spans="1:25" ht="12.75" customHeight="1" x14ac:dyDescent="0.2">
      <c r="A180" s="111"/>
      <c r="B180" s="246" t="s">
        <v>572</v>
      </c>
      <c r="C180" s="111" t="str">
        <f>HLOOKUP(Stats!$B$5,Professions!$E$2:$DD$57,23,0)</f>
        <v>9</v>
      </c>
      <c r="D180" s="111" t="str">
        <f>IF(Stats!$B$6="","",HLOOKUP(Stats!$B$6,Professions!$E$2:$DD$57,23,0))</f>
        <v>3/5</v>
      </c>
      <c r="E180" s="111"/>
      <c r="F180" s="111">
        <f>VLOOKUP(E180,Professions!$DQ$1:$DX$203,3)</f>
        <v>-15</v>
      </c>
      <c r="G180" s="111" t="s">
        <v>384</v>
      </c>
      <c r="H180" s="111">
        <f>Stats!$I$18</f>
        <v>9</v>
      </c>
      <c r="I180" s="111"/>
      <c r="J180" s="111"/>
      <c r="K180" s="197">
        <f t="shared" si="19"/>
        <v>-5.01</v>
      </c>
      <c r="M180" s="304"/>
      <c r="O180" s="80">
        <f t="shared" si="14"/>
        <v>0</v>
      </c>
      <c r="P180" s="115"/>
      <c r="Q180" s="305"/>
      <c r="Y180" s="80">
        <v>178</v>
      </c>
    </row>
    <row r="181" spans="1:25" ht="12.75" customHeight="1" x14ac:dyDescent="0.2">
      <c r="A181" s="148"/>
      <c r="B181" s="309" t="s">
        <v>573</v>
      </c>
      <c r="C181" s="111" t="str">
        <f>HLOOKUP(Stats!$B$5,Professions!$E$2:$DD$57,23,0)</f>
        <v>9</v>
      </c>
      <c r="D181" s="111" t="str">
        <f>IF(Stats!$B$6="","",HLOOKUP(Stats!$B$6,Professions!$E$2:$DD$57,23,0))</f>
        <v>3/5</v>
      </c>
      <c r="E181" s="111"/>
      <c r="F181" s="111">
        <f>VLOOKUP(E181,Professions!$DQ$1:$DX$203,3)</f>
        <v>-15</v>
      </c>
      <c r="G181" s="111" t="s">
        <v>432</v>
      </c>
      <c r="H181" s="111">
        <f>Stats!$I$19</f>
        <v>8</v>
      </c>
      <c r="I181" s="111"/>
      <c r="J181" s="111"/>
      <c r="K181" s="197">
        <f t="shared" si="19"/>
        <v>-6.01</v>
      </c>
      <c r="M181" s="304"/>
      <c r="O181" s="80">
        <f t="shared" si="14"/>
        <v>0</v>
      </c>
      <c r="P181" s="115"/>
      <c r="Q181" s="305"/>
      <c r="Y181" s="80">
        <v>179</v>
      </c>
    </row>
    <row r="182" spans="1:25" ht="12.75" customHeight="1" x14ac:dyDescent="0.2">
      <c r="A182" s="244" t="s">
        <v>574</v>
      </c>
      <c r="B182" s="204"/>
      <c r="C182" s="226" t="str">
        <f>HLOOKUP(Stats!$B$5,Professions!$E$2:$DD$57,24,0)</f>
        <v>9</v>
      </c>
      <c r="D182" s="226" t="str">
        <f>IF(Stats!$B$6="","",HLOOKUP(Stats!$B$6,Professions!$E$2:$DD$57,24,0))</f>
        <v>3/5</v>
      </c>
      <c r="E182" s="302"/>
      <c r="F182" s="302">
        <f>VLOOKUP(E182,Professions!$DQ$1:$DX$203,2)</f>
        <v>-15</v>
      </c>
      <c r="G182" s="302" t="s">
        <v>387</v>
      </c>
      <c r="H182" s="302">
        <f>Stats!$I$18+Stats!$I$14</f>
        <v>16</v>
      </c>
      <c r="I182" s="303">
        <f>IF(Stats!$M$4="",HLOOKUP(Stats!$B$5,Professions!$F$59:$DD$114,Professions!$DF$25,0),((HLOOKUP(Stats!$B$5,Professions!$F$59:$DD$114,Professions!$DF$25,0)+HLOOKUP(Stats!$B$6,Professions!$F$59:$DD$114,Professions!$DF$25,0))/2-0.01))</f>
        <v>-0.01</v>
      </c>
      <c r="J182" s="302"/>
      <c r="K182" s="303">
        <f>F182+H182+I182+J182</f>
        <v>0.99</v>
      </c>
      <c r="M182" s="304"/>
      <c r="O182" s="80">
        <f t="shared" si="14"/>
        <v>0</v>
      </c>
      <c r="P182" s="115"/>
      <c r="Q182" s="305"/>
      <c r="Y182" s="80">
        <v>180</v>
      </c>
    </row>
    <row r="183" spans="1:25" ht="12.75" customHeight="1" x14ac:dyDescent="0.2">
      <c r="A183" s="179"/>
      <c r="B183" s="257" t="s">
        <v>575</v>
      </c>
      <c r="C183" s="111" t="str">
        <f>HLOOKUP(Stats!$B$5,Professions!$E$2:$DD$57,24,0)</f>
        <v>9</v>
      </c>
      <c r="D183" s="111" t="str">
        <f>IF(Stats!$B$6="","",HLOOKUP(Stats!$B$6,Professions!$E$2:$DD$57,24,0))</f>
        <v>3/5</v>
      </c>
      <c r="E183" s="111"/>
      <c r="F183" s="111">
        <f>VLOOKUP(E183,Professions!$DQ$1:$DX$203,3)</f>
        <v>-15</v>
      </c>
      <c r="G183" s="111" t="s">
        <v>384</v>
      </c>
      <c r="H183" s="111">
        <f>Stats!$I$18</f>
        <v>9</v>
      </c>
      <c r="I183" s="111"/>
      <c r="J183" s="111"/>
      <c r="K183" s="197">
        <f t="shared" ref="K183:K188" si="20">F183+H183+I183+J183+$K$182</f>
        <v>-5.01</v>
      </c>
      <c r="M183" s="304"/>
      <c r="O183" s="80">
        <f t="shared" si="14"/>
        <v>0</v>
      </c>
      <c r="P183" s="115"/>
      <c r="Q183" s="305"/>
      <c r="Y183" s="80">
        <v>181</v>
      </c>
    </row>
    <row r="184" spans="1:25" ht="12.75" customHeight="1" x14ac:dyDescent="0.2">
      <c r="A184" s="111"/>
      <c r="B184" s="246" t="s">
        <v>576</v>
      </c>
      <c r="C184" s="111" t="str">
        <f>HLOOKUP(Stats!$B$5,Professions!$E$2:$DD$57,24,0)</f>
        <v>9</v>
      </c>
      <c r="D184" s="111" t="str">
        <f>IF(Stats!$B$6="","",HLOOKUP(Stats!$B$6,Professions!$E$2:$DD$57,24,0))</f>
        <v>3/5</v>
      </c>
      <c r="E184" s="111"/>
      <c r="F184" s="111">
        <f>VLOOKUP(E184,Professions!$DQ$1:$DX$203,3)</f>
        <v>-15</v>
      </c>
      <c r="G184" s="111" t="s">
        <v>220</v>
      </c>
      <c r="H184" s="111">
        <f>Stats!$I$15</f>
        <v>7</v>
      </c>
      <c r="I184" s="111"/>
      <c r="J184" s="111"/>
      <c r="K184" s="197">
        <f t="shared" si="20"/>
        <v>-7.01</v>
      </c>
      <c r="M184" s="304"/>
      <c r="O184" s="80">
        <f t="shared" si="14"/>
        <v>0</v>
      </c>
      <c r="P184" s="115"/>
      <c r="Q184" s="305"/>
      <c r="Y184" s="80">
        <v>182</v>
      </c>
    </row>
    <row r="185" spans="1:25" ht="12.75" customHeight="1" x14ac:dyDescent="0.2">
      <c r="A185" s="111"/>
      <c r="B185" s="246" t="s">
        <v>577</v>
      </c>
      <c r="C185" s="111" t="str">
        <f>HLOOKUP(Stats!$B$5,Professions!$E$2:$DD$57,24,0)</f>
        <v>9</v>
      </c>
      <c r="D185" s="111" t="str">
        <f>IF(Stats!$B$6="","",HLOOKUP(Stats!$B$6,Professions!$E$2:$DD$57,24,0))</f>
        <v>3/5</v>
      </c>
      <c r="E185" s="111"/>
      <c r="F185" s="111">
        <f>VLOOKUP(E185,Professions!$DQ$1:$DX$203,3)</f>
        <v>-15</v>
      </c>
      <c r="G185" s="111" t="s">
        <v>220</v>
      </c>
      <c r="H185" s="111">
        <f>Stats!$I$15</f>
        <v>7</v>
      </c>
      <c r="I185" s="111"/>
      <c r="J185" s="111"/>
      <c r="K185" s="197">
        <f t="shared" si="20"/>
        <v>-7.01</v>
      </c>
      <c r="M185" s="304"/>
      <c r="O185" s="80">
        <f t="shared" si="14"/>
        <v>0</v>
      </c>
      <c r="P185" s="115"/>
      <c r="Q185" s="305"/>
      <c r="Y185" s="80">
        <v>183</v>
      </c>
    </row>
    <row r="186" spans="1:25" ht="12.75" customHeight="1" x14ac:dyDescent="0.2">
      <c r="A186" s="111"/>
      <c r="B186" s="246" t="s">
        <v>578</v>
      </c>
      <c r="C186" s="111" t="str">
        <f>HLOOKUP(Stats!$B$5,Professions!$E$2:$DD$57,24,0)</f>
        <v>9</v>
      </c>
      <c r="D186" s="111" t="str">
        <f>IF(Stats!$B$6="","",HLOOKUP(Stats!$B$6,Professions!$E$2:$DD$57,24,0))</f>
        <v>3/5</v>
      </c>
      <c r="E186" s="111"/>
      <c r="F186" s="111">
        <f>VLOOKUP(E186,Professions!$DQ$1:$DX$203,3)</f>
        <v>-15</v>
      </c>
      <c r="G186" s="111" t="s">
        <v>389</v>
      </c>
      <c r="H186" s="111">
        <f>Stats!$I$14</f>
        <v>7</v>
      </c>
      <c r="I186" s="111"/>
      <c r="J186" s="111"/>
      <c r="K186" s="197">
        <f t="shared" si="20"/>
        <v>-7.01</v>
      </c>
      <c r="M186" s="304"/>
      <c r="O186" s="80">
        <f t="shared" si="14"/>
        <v>0</v>
      </c>
      <c r="P186" s="115"/>
      <c r="Q186" s="305"/>
      <c r="Y186" s="80">
        <v>184</v>
      </c>
    </row>
    <row r="187" spans="1:25" ht="12.75" customHeight="1" x14ac:dyDescent="0.2">
      <c r="A187" s="111"/>
      <c r="B187" s="246" t="s">
        <v>579</v>
      </c>
      <c r="C187" s="111" t="str">
        <f>HLOOKUP(Stats!$B$5,Professions!$E$2:$DD$57,24,0)</f>
        <v>9</v>
      </c>
      <c r="D187" s="111" t="str">
        <f>IF(Stats!$B$6="","",HLOOKUP(Stats!$B$6,Professions!$E$2:$DD$57,24,0))</f>
        <v>3/5</v>
      </c>
      <c r="E187" s="111"/>
      <c r="F187" s="111">
        <f>VLOOKUP(E187,Professions!$DQ$1:$DX$203,3)</f>
        <v>-15</v>
      </c>
      <c r="G187" s="111" t="s">
        <v>389</v>
      </c>
      <c r="H187" s="111">
        <f>Stats!$I$14</f>
        <v>7</v>
      </c>
      <c r="I187" s="111"/>
      <c r="J187" s="111"/>
      <c r="K187" s="197">
        <f t="shared" si="20"/>
        <v>-7.01</v>
      </c>
      <c r="M187" s="304"/>
      <c r="O187" s="80">
        <f t="shared" si="14"/>
        <v>0</v>
      </c>
      <c r="P187" s="115"/>
      <c r="Q187" s="305"/>
      <c r="Y187" s="80">
        <v>185</v>
      </c>
    </row>
    <row r="188" spans="1:25" ht="12.75" customHeight="1" x14ac:dyDescent="0.2">
      <c r="A188" s="148"/>
      <c r="B188" s="309" t="s">
        <v>580</v>
      </c>
      <c r="C188" s="111" t="str">
        <f>HLOOKUP(Stats!$B$5,Professions!$E$2:$DD$57,24,0)</f>
        <v>9</v>
      </c>
      <c r="D188" s="111" t="str">
        <f>IF(Stats!$B$6="","",HLOOKUP(Stats!$B$6,Professions!$E$2:$DD$57,24,0))</f>
        <v>3/5</v>
      </c>
      <c r="E188" s="111"/>
      <c r="F188" s="111">
        <f>VLOOKUP(E188,Professions!$DQ$1:$DX$203,3)</f>
        <v>-15</v>
      </c>
      <c r="G188" s="111" t="s">
        <v>220</v>
      </c>
      <c r="H188" s="111">
        <f>Stats!$I$15</f>
        <v>7</v>
      </c>
      <c r="I188" s="111"/>
      <c r="J188" s="111"/>
      <c r="K188" s="197">
        <f t="shared" si="20"/>
        <v>-7.01</v>
      </c>
      <c r="M188" s="304"/>
      <c r="O188" s="80">
        <f t="shared" si="14"/>
        <v>0</v>
      </c>
      <c r="P188" s="115"/>
      <c r="Q188" s="305"/>
      <c r="Y188" s="80">
        <v>186</v>
      </c>
    </row>
    <row r="189" spans="1:25" ht="12.75" customHeight="1" x14ac:dyDescent="0.2">
      <c r="A189" s="244" t="s">
        <v>581</v>
      </c>
      <c r="B189" s="204"/>
      <c r="C189" s="226" t="str">
        <f>HLOOKUP(Stats!$B$5,Professions!$E$2:$DD$57,25,0)</f>
        <v>3</v>
      </c>
      <c r="D189" s="226" t="str">
        <f>IF(Stats!$B$6="","",HLOOKUP(Stats!$B$6,Professions!$E$2:$DD$57,25,0))</f>
        <v>1/4</v>
      </c>
      <c r="E189" s="302"/>
      <c r="F189" s="302">
        <f>VLOOKUP(E189,Professions!$DQ$1:$DX$203,2)</f>
        <v>-15</v>
      </c>
      <c r="G189" s="302" t="s">
        <v>582</v>
      </c>
      <c r="H189" s="302">
        <f>Stats!I14+Stats!I21</f>
        <v>12</v>
      </c>
      <c r="I189" s="303">
        <f>IF(Stats!$M$4="",HLOOKUP(Stats!$B$5,Professions!$F$59:$DD$114,Professions!$DF$26,0),((HLOOKUP(Stats!$B$5,Professions!$F$59:$DD$114,Professions!$DF$26,0)+HLOOKUP(Stats!$B$6,Professions!$F$59:$DD$114,Professions!$DF$26,0))/2-0.01))</f>
        <v>-0.01</v>
      </c>
      <c r="J189" s="302"/>
      <c r="K189" s="303">
        <f>F189+H189+I189+J189</f>
        <v>-3.01</v>
      </c>
      <c r="M189" s="304"/>
      <c r="O189" s="80">
        <f t="shared" si="14"/>
        <v>0</v>
      </c>
      <c r="P189" s="115"/>
      <c r="Q189" s="305">
        <f>HLOOKUP(Stats!$B$2,Races!$AK$4:$EH$50,Races!EH26,0)</f>
        <v>1</v>
      </c>
      <c r="Y189" s="80">
        <v>187</v>
      </c>
    </row>
    <row r="190" spans="1:25" ht="12.75" customHeight="1" x14ac:dyDescent="0.2">
      <c r="A190" s="179"/>
      <c r="B190" s="257" t="s">
        <v>583</v>
      </c>
      <c r="C190" s="111" t="str">
        <f>HLOOKUP(Stats!$B$5,Professions!$E$2:$DD$57,25,0)</f>
        <v>3</v>
      </c>
      <c r="D190" s="111" t="str">
        <f>IF(Stats!$B$6="","",HLOOKUP(Stats!$B$6,Professions!$E$2:$DD$57,25,0))</f>
        <v>1/4</v>
      </c>
      <c r="E190" s="111"/>
      <c r="F190" s="111">
        <f>VLOOKUP(E190,Professions!$DQ$1:$DX$203,3)</f>
        <v>-15</v>
      </c>
      <c r="G190" s="111" t="s">
        <v>462</v>
      </c>
      <c r="H190" s="111">
        <f>Stats!$I$21</f>
        <v>5</v>
      </c>
      <c r="I190" s="111"/>
      <c r="J190" s="111"/>
      <c r="K190" s="197">
        <f>F190+H190+I190+J190+$K$189</f>
        <v>-13.01</v>
      </c>
      <c r="M190" s="304"/>
      <c r="O190" s="80">
        <f t="shared" si="14"/>
        <v>0</v>
      </c>
      <c r="P190" s="115"/>
      <c r="Q190" s="305"/>
      <c r="Y190" s="80">
        <v>188</v>
      </c>
    </row>
    <row r="191" spans="1:25" ht="12.75" customHeight="1" x14ac:dyDescent="0.2">
      <c r="A191" s="330" t="s">
        <v>476</v>
      </c>
      <c r="B191" s="331" t="s">
        <v>584</v>
      </c>
      <c r="C191" s="111" t="str">
        <f>HLOOKUP(Stats!$B$5,Professions!$E$2:$DD$57,25,0)</f>
        <v>3</v>
      </c>
      <c r="D191" s="111" t="str">
        <f>IF(Stats!$B$6="","",HLOOKUP(Stats!$B$6,Professions!$E$2:$DD$57,25,0))</f>
        <v>1/4</v>
      </c>
      <c r="E191" s="111"/>
      <c r="F191" s="111">
        <f>VLOOKUP(E191,Professions!$DQ$1:$DX$203,3)</f>
        <v>-15</v>
      </c>
      <c r="G191" s="111" t="s">
        <v>409</v>
      </c>
      <c r="H191" s="111">
        <f>Stats!$I$20</f>
        <v>2</v>
      </c>
      <c r="I191" s="111"/>
      <c r="J191" s="111"/>
      <c r="K191" s="197">
        <f>F191+H191+I191+J191+$K$189</f>
        <v>-16.009999999999998</v>
      </c>
      <c r="M191" s="304"/>
      <c r="O191" s="80">
        <f t="shared" si="14"/>
        <v>0</v>
      </c>
      <c r="P191" s="115"/>
      <c r="Q191" s="305"/>
      <c r="Y191" s="80">
        <v>189</v>
      </c>
    </row>
    <row r="192" spans="1:25" ht="12.75" customHeight="1" x14ac:dyDescent="0.2">
      <c r="A192" s="111"/>
      <c r="B192" s="246" t="s">
        <v>585</v>
      </c>
      <c r="C192" s="111" t="str">
        <f>HLOOKUP(Stats!$B$5,Professions!$E$2:$DD$57,25,0)</f>
        <v>3</v>
      </c>
      <c r="D192" s="111" t="str">
        <f>IF(Stats!$B$6="","",HLOOKUP(Stats!$B$6,Professions!$E$2:$DD$57,25,0))</f>
        <v>1/4</v>
      </c>
      <c r="E192" s="111"/>
      <c r="F192" s="111">
        <f>VLOOKUP(E192,Professions!$DQ$1:$DX$203,3)</f>
        <v>-15</v>
      </c>
      <c r="G192" s="111" t="s">
        <v>220</v>
      </c>
      <c r="H192" s="111">
        <f>Stats!$I$15</f>
        <v>7</v>
      </c>
      <c r="I192" s="111"/>
      <c r="J192" s="111"/>
      <c r="K192" s="197">
        <f>F192+H192+I192+J192+$K$189</f>
        <v>-11.01</v>
      </c>
      <c r="M192" s="304"/>
      <c r="O192" s="80">
        <f t="shared" si="14"/>
        <v>0</v>
      </c>
      <c r="P192" s="115"/>
      <c r="Q192" s="305"/>
      <c r="Y192" s="80">
        <v>190</v>
      </c>
    </row>
    <row r="193" spans="1:25" ht="12.75" customHeight="1" x14ac:dyDescent="0.2">
      <c r="A193" s="111"/>
      <c r="B193" s="246" t="s">
        <v>586</v>
      </c>
      <c r="C193" s="111" t="str">
        <f>HLOOKUP(Stats!$B$5,Professions!$E$2:$DD$57,25,0)</f>
        <v>3</v>
      </c>
      <c r="D193" s="111" t="str">
        <f>IF(Stats!$B$6="","",HLOOKUP(Stats!$B$6,Professions!$E$2:$DD$57,25,0))</f>
        <v>1/4</v>
      </c>
      <c r="E193" s="111"/>
      <c r="F193" s="111">
        <f>VLOOKUP(E193,Professions!$DQ$1:$DX$203,3)</f>
        <v>-15</v>
      </c>
      <c r="G193" s="111" t="s">
        <v>445</v>
      </c>
      <c r="H193" s="111">
        <f>Stats!$I$22</f>
        <v>10</v>
      </c>
      <c r="I193" s="111"/>
      <c r="J193" s="111"/>
      <c r="K193" s="197">
        <f>F193+H193+I193+J193+$K$189</f>
        <v>-8.01</v>
      </c>
      <c r="M193" s="304"/>
      <c r="O193" s="80">
        <f t="shared" si="14"/>
        <v>0</v>
      </c>
      <c r="P193" s="115"/>
      <c r="Q193" s="305"/>
      <c r="Y193" s="80">
        <v>191</v>
      </c>
    </row>
    <row r="194" spans="1:25" ht="12.75" customHeight="1" x14ac:dyDescent="0.2">
      <c r="A194" s="148"/>
      <c r="B194" s="309" t="s">
        <v>587</v>
      </c>
      <c r="C194" s="111" t="str">
        <f>HLOOKUP(Stats!$B$5,Professions!$E$2:$DD$57,25,0)</f>
        <v>3</v>
      </c>
      <c r="D194" s="111" t="str">
        <f>IF(Stats!$B$6="","",HLOOKUP(Stats!$B$6,Professions!$E$2:$DD$57,25,0))</f>
        <v>1/4</v>
      </c>
      <c r="E194" s="111"/>
      <c r="F194" s="111">
        <f>VLOOKUP(E194,Professions!$DQ$1:$DX$203,3)</f>
        <v>-15</v>
      </c>
      <c r="G194" s="111" t="s">
        <v>462</v>
      </c>
      <c r="H194" s="111">
        <f>Stats!$I$21</f>
        <v>5</v>
      </c>
      <c r="I194" s="111"/>
      <c r="J194" s="111"/>
      <c r="K194" s="197">
        <f>F194+H194+I194+J194+$K$189</f>
        <v>-13.01</v>
      </c>
      <c r="M194" s="304"/>
      <c r="O194" s="80">
        <f t="shared" si="14"/>
        <v>0</v>
      </c>
      <c r="P194" s="115"/>
      <c r="Q194" s="305">
        <f>HLOOKUP(Stats!$B$2,Races!$AK$4:$EH$50,Races!EH27,0)</f>
        <v>0</v>
      </c>
      <c r="Y194" s="80">
        <v>192</v>
      </c>
    </row>
    <row r="195" spans="1:25" ht="12.75" customHeight="1" x14ac:dyDescent="0.2">
      <c r="A195" s="244" t="s">
        <v>588</v>
      </c>
      <c r="B195" s="204"/>
      <c r="C195" s="226" t="str">
        <f>HLOOKUP(Stats!$B$5,Professions!$E$2:$DD$57,26,0)</f>
        <v>3</v>
      </c>
      <c r="D195" s="226" t="str">
        <f>IF(Stats!$B$6="","",HLOOKUP(Stats!$B$6,Professions!$E$2:$DD$57,26,0))</f>
        <v>2/5</v>
      </c>
      <c r="E195" s="302"/>
      <c r="F195" s="302">
        <f>VLOOKUP(E195,Professions!$DQ$1:$DX$203,2)</f>
        <v>-15</v>
      </c>
      <c r="G195" s="302" t="s">
        <v>589</v>
      </c>
      <c r="H195" s="302">
        <f>Stats!I15+Stats!I22</f>
        <v>17</v>
      </c>
      <c r="I195" s="303">
        <f>IF(Stats!$M$4="",HLOOKUP(Stats!$B$5,Professions!$F$59:$DD$114,Professions!$DF$27,0),((HLOOKUP(Stats!$B$5,Professions!$F$59:$DD$114,Professions!$DF$27,0)+HLOOKUP(Stats!$B$6,Professions!$F$59:$DD$114,Professions!$DF$27,0))/2-0.01))</f>
        <v>-0.01</v>
      </c>
      <c r="J195" s="302"/>
      <c r="K195" s="303">
        <f>F195+H195+I195+J195</f>
        <v>1.99</v>
      </c>
      <c r="M195" s="304"/>
      <c r="O195" s="80">
        <f t="shared" si="14"/>
        <v>0</v>
      </c>
      <c r="P195" s="115"/>
      <c r="Q195" s="305">
        <f>HLOOKUP(Stats!$B$2,Races!$AK$4:$EH$50,Races!EH28,0)</f>
        <v>1</v>
      </c>
      <c r="Y195" s="80">
        <v>193</v>
      </c>
    </row>
    <row r="196" spans="1:25" ht="12.75" customHeight="1" x14ac:dyDescent="0.2">
      <c r="A196" s="179"/>
      <c r="B196" s="257" t="s">
        <v>590</v>
      </c>
      <c r="C196" s="111" t="str">
        <f>HLOOKUP(Stats!$B$5,Professions!$E$2:$DD$57,26,0)</f>
        <v>3</v>
      </c>
      <c r="D196" s="111" t="str">
        <f>IF(Stats!$B$6="","",HLOOKUP(Stats!$B$6,Professions!$E$2:$DD$57,26,0))</f>
        <v>2/5</v>
      </c>
      <c r="E196" s="111"/>
      <c r="F196" s="111">
        <f>VLOOKUP(E196,Professions!$DQ$1:$DX$203,3)</f>
        <v>-15</v>
      </c>
      <c r="G196" s="111" t="s">
        <v>399</v>
      </c>
      <c r="H196" s="111">
        <f>Stats!$I$16</f>
        <v>0</v>
      </c>
      <c r="I196" s="111"/>
      <c r="J196" s="111"/>
      <c r="K196" s="197">
        <f>F196+H196+I196+J196+$K$195</f>
        <v>-13.01</v>
      </c>
      <c r="M196" s="304"/>
      <c r="O196" s="80">
        <f t="shared" si="14"/>
        <v>0</v>
      </c>
      <c r="P196" s="115"/>
      <c r="Q196" s="305"/>
      <c r="Y196" s="80">
        <v>194</v>
      </c>
    </row>
    <row r="197" spans="1:25" ht="12.75" customHeight="1" x14ac:dyDescent="0.2">
      <c r="A197" s="111"/>
      <c r="B197" s="246" t="s">
        <v>592</v>
      </c>
      <c r="C197" s="111" t="str">
        <f>HLOOKUP(Stats!$B$5,Professions!$E$2:$DD$57,26,0)</f>
        <v>3</v>
      </c>
      <c r="D197" s="111" t="str">
        <f>IF(Stats!$B$6="","",HLOOKUP(Stats!$B$6,Professions!$E$2:$DD$57,26,0))</f>
        <v>2/5</v>
      </c>
      <c r="E197" s="111"/>
      <c r="F197" s="111">
        <f>VLOOKUP(E197,Professions!$DQ$1:$DX$203,3)</f>
        <v>-15</v>
      </c>
      <c r="G197" s="111" t="s">
        <v>462</v>
      </c>
      <c r="H197" s="111">
        <f>Stats!$I$21</f>
        <v>5</v>
      </c>
      <c r="I197" s="111"/>
      <c r="J197" s="111"/>
      <c r="K197" s="197">
        <f>F197+H197+I197+J197+$K$195</f>
        <v>-8.01</v>
      </c>
      <c r="M197" s="304"/>
      <c r="O197" s="80">
        <f t="shared" si="14"/>
        <v>0</v>
      </c>
      <c r="P197" s="115"/>
      <c r="Q197" s="305"/>
      <c r="Y197" s="80">
        <v>195</v>
      </c>
    </row>
    <row r="198" spans="1:25" ht="12.75" customHeight="1" x14ac:dyDescent="0.2">
      <c r="A198" s="111"/>
      <c r="B198" s="246" t="s">
        <v>592</v>
      </c>
      <c r="C198" s="111" t="str">
        <f>HLOOKUP(Stats!$B$5,Professions!$E$2:$DD$57,26,0)</f>
        <v>3</v>
      </c>
      <c r="D198" s="111" t="str">
        <f>IF(Stats!$B$6="","",HLOOKUP(Stats!$B$6,Professions!$E$2:$DD$57,26,0))</f>
        <v>2/5</v>
      </c>
      <c r="E198" s="111"/>
      <c r="F198" s="111">
        <f>VLOOKUP(E198,Professions!$DQ$1:$DX$203,3)</f>
        <v>-15</v>
      </c>
      <c r="G198" s="111" t="s">
        <v>462</v>
      </c>
      <c r="H198" s="111">
        <f>Stats!$I$21</f>
        <v>5</v>
      </c>
      <c r="I198" s="111"/>
      <c r="J198" s="111"/>
      <c r="K198" s="197">
        <f t="shared" ref="K198:K199" si="21">F198+H198+I198+J198+$K$195</f>
        <v>-8.01</v>
      </c>
      <c r="M198" s="304"/>
      <c r="O198" s="80">
        <f t="shared" si="14"/>
        <v>0</v>
      </c>
      <c r="P198" s="115"/>
      <c r="Q198" s="305"/>
      <c r="Y198" s="80">
        <v>196</v>
      </c>
    </row>
    <row r="199" spans="1:25" ht="12.75" customHeight="1" x14ac:dyDescent="0.2">
      <c r="A199" s="111"/>
      <c r="B199" s="246" t="s">
        <v>592</v>
      </c>
      <c r="C199" s="111" t="str">
        <f>HLOOKUP(Stats!$B$5,Professions!$E$2:$DD$57,26,0)</f>
        <v>3</v>
      </c>
      <c r="D199" s="111" t="str">
        <f>IF(Stats!$B$6="","",HLOOKUP(Stats!$B$6,Professions!$E$2:$DD$57,26,0))</f>
        <v>2/5</v>
      </c>
      <c r="E199" s="111"/>
      <c r="F199" s="111">
        <f>VLOOKUP(E199,Professions!$DQ$1:$DX$203,3)</f>
        <v>-15</v>
      </c>
      <c r="G199" s="111" t="s">
        <v>462</v>
      </c>
      <c r="H199" s="111">
        <f>Stats!$I$21</f>
        <v>5</v>
      </c>
      <c r="I199" s="111"/>
      <c r="J199" s="111"/>
      <c r="K199" s="197">
        <f t="shared" si="21"/>
        <v>-8.01</v>
      </c>
      <c r="M199" s="304"/>
      <c r="O199" s="80">
        <f t="shared" si="14"/>
        <v>0</v>
      </c>
      <c r="P199" s="115"/>
      <c r="Q199" s="305"/>
      <c r="Y199" s="80">
        <v>197</v>
      </c>
    </row>
    <row r="200" spans="1:25" ht="12.75" customHeight="1" x14ac:dyDescent="0.2">
      <c r="A200" s="111"/>
      <c r="B200" s="246" t="s">
        <v>593</v>
      </c>
      <c r="C200" s="111" t="str">
        <f>HLOOKUP(Stats!$B$5,Professions!$E$2:$DD$57,26,0)</f>
        <v>3</v>
      </c>
      <c r="D200" s="111" t="str">
        <f>IF(Stats!$B$6="","",HLOOKUP(Stats!$B$6,Professions!$E$2:$DD$57,26,0))</f>
        <v>2/5</v>
      </c>
      <c r="E200" s="111"/>
      <c r="F200" s="111">
        <f>VLOOKUP(E200,Professions!$DQ$1:$DX$203,3)</f>
        <v>-15</v>
      </c>
      <c r="G200" s="111" t="s">
        <v>462</v>
      </c>
      <c r="H200" s="111">
        <f>Stats!$I$21</f>
        <v>5</v>
      </c>
      <c r="I200" s="111"/>
      <c r="J200" s="111"/>
      <c r="K200" s="197">
        <f>F200+H200+I200+J200+$K$195</f>
        <v>-8.01</v>
      </c>
      <c r="M200" s="304"/>
      <c r="O200" s="80">
        <f t="shared" si="14"/>
        <v>0</v>
      </c>
      <c r="P200" s="115"/>
      <c r="Q200" s="305"/>
      <c r="Y200" s="80">
        <v>198</v>
      </c>
    </row>
    <row r="201" spans="1:25" ht="12.75" customHeight="1" x14ac:dyDescent="0.2">
      <c r="A201" s="111"/>
      <c r="B201" s="246" t="s">
        <v>594</v>
      </c>
      <c r="C201" s="111" t="str">
        <f>HLOOKUP(Stats!$B$5,Professions!$E$2:$DD$57,26,0)</f>
        <v>3</v>
      </c>
      <c r="D201" s="111" t="str">
        <f>IF(Stats!$B$6="","",HLOOKUP(Stats!$B$6,Professions!$E$2:$DD$57,26,0))</f>
        <v>2/5</v>
      </c>
      <c r="E201" s="111"/>
      <c r="F201" s="111">
        <f>VLOOKUP(E201,Professions!$DQ$1:$DX$203,3)</f>
        <v>-15</v>
      </c>
      <c r="G201" s="111" t="s">
        <v>399</v>
      </c>
      <c r="H201" s="111">
        <f>Stats!$I$16</f>
        <v>0</v>
      </c>
      <c r="I201" s="111"/>
      <c r="J201" s="111"/>
      <c r="K201" s="197">
        <f>F201+H201+I201+J201+$K$195</f>
        <v>-13.01</v>
      </c>
      <c r="M201" s="304"/>
      <c r="O201" s="80">
        <f t="shared" ref="O201:O205" si="22">E201+M201</f>
        <v>0</v>
      </c>
      <c r="P201" s="115"/>
      <c r="Q201" s="305"/>
      <c r="Y201" s="80">
        <v>199</v>
      </c>
    </row>
    <row r="202" spans="1:25" ht="12.75" customHeight="1" x14ac:dyDescent="0.2">
      <c r="A202" s="111"/>
      <c r="B202" s="246" t="s">
        <v>596</v>
      </c>
      <c r="C202" s="111" t="str">
        <f>HLOOKUP(Stats!$B$5,Professions!$E$2:$DD$57,26,0)</f>
        <v>3</v>
      </c>
      <c r="D202" s="111" t="str">
        <f>IF(Stats!$B$6="","",HLOOKUP(Stats!$B$6,Professions!$E$2:$DD$57,26,0))</f>
        <v>2/5</v>
      </c>
      <c r="E202" s="111"/>
      <c r="F202" s="111">
        <f>VLOOKUP(E202,Professions!$DQ$1:$DX$203,3)</f>
        <v>-15</v>
      </c>
      <c r="G202" s="111" t="s">
        <v>445</v>
      </c>
      <c r="H202" s="111">
        <f>Stats!$I$22</f>
        <v>10</v>
      </c>
      <c r="I202" s="111"/>
      <c r="J202" s="111"/>
      <c r="K202" s="197">
        <f>F202+H202+I202+J202+$K$195</f>
        <v>-3.01</v>
      </c>
      <c r="M202" s="304"/>
      <c r="O202" s="80">
        <f t="shared" si="22"/>
        <v>0</v>
      </c>
      <c r="P202" s="115"/>
      <c r="Q202" s="305"/>
      <c r="Y202" s="80">
        <v>200</v>
      </c>
    </row>
    <row r="203" spans="1:25" ht="12.75" customHeight="1" x14ac:dyDescent="0.2">
      <c r="A203" s="148"/>
      <c r="B203" s="246" t="s">
        <v>596</v>
      </c>
      <c r="C203" s="111" t="str">
        <f>HLOOKUP(Stats!$B$5,Professions!$E$2:$DD$57,26,0)</f>
        <v>3</v>
      </c>
      <c r="D203" s="111" t="str">
        <f>IF(Stats!$B$6="","",HLOOKUP(Stats!$B$6,Professions!$E$2:$DD$57,26,0))</f>
        <v>2/5</v>
      </c>
      <c r="E203" s="111"/>
      <c r="F203" s="111">
        <f>VLOOKUP(E203,Professions!$DQ$1:$DX$203,3)</f>
        <v>-15</v>
      </c>
      <c r="G203" s="111" t="s">
        <v>445</v>
      </c>
      <c r="H203" s="111">
        <f>Stats!$I$22</f>
        <v>10</v>
      </c>
      <c r="I203" s="111"/>
      <c r="J203" s="111"/>
      <c r="K203" s="197">
        <f t="shared" ref="K203:K204" si="23">F203+H203+I203+J203+$K$195</f>
        <v>-3.01</v>
      </c>
      <c r="M203" s="304"/>
      <c r="O203" s="80">
        <f t="shared" si="22"/>
        <v>0</v>
      </c>
      <c r="P203" s="115"/>
      <c r="Q203" s="305"/>
      <c r="Y203" s="80">
        <v>201</v>
      </c>
    </row>
    <row r="204" spans="1:25" ht="12.75" customHeight="1" x14ac:dyDescent="0.2">
      <c r="A204" s="148"/>
      <c r="B204" s="309" t="s">
        <v>596</v>
      </c>
      <c r="C204" s="111" t="str">
        <f>HLOOKUP(Stats!$B$5,Professions!$E$2:$DD$57,26,0)</f>
        <v>3</v>
      </c>
      <c r="D204" s="111" t="str">
        <f>IF(Stats!$B$6="","",HLOOKUP(Stats!$B$6,Professions!$E$2:$DD$57,26,0))</f>
        <v>2/5</v>
      </c>
      <c r="E204" s="111"/>
      <c r="F204" s="111">
        <f>VLOOKUP(E204,Professions!$DQ$1:$DX$203,3)</f>
        <v>-15</v>
      </c>
      <c r="G204" s="111" t="s">
        <v>445</v>
      </c>
      <c r="H204" s="111">
        <f>Stats!$I$22</f>
        <v>10</v>
      </c>
      <c r="I204" s="111"/>
      <c r="J204" s="111"/>
      <c r="K204" s="197">
        <f t="shared" si="23"/>
        <v>-3.01</v>
      </c>
      <c r="M204" s="304"/>
      <c r="O204" s="80">
        <f t="shared" si="22"/>
        <v>0</v>
      </c>
      <c r="P204" s="115"/>
      <c r="Q204" s="305"/>
      <c r="Y204" s="80">
        <v>202</v>
      </c>
    </row>
    <row r="205" spans="1:25" ht="12.75" customHeight="1" x14ac:dyDescent="0.2">
      <c r="A205" s="269"/>
      <c r="B205" s="312" t="s">
        <v>597</v>
      </c>
      <c r="C205" s="250" t="str">
        <f>HLOOKUP(Stats!$B$5,Professions!$E$2:$DD$57,26,0)</f>
        <v>3</v>
      </c>
      <c r="D205" s="111" t="str">
        <f>IF(Stats!$B$6="","",HLOOKUP(Stats!$B$6,Professions!$E$2:$DD$57,26,0))</f>
        <v>2/5</v>
      </c>
      <c r="E205" s="111"/>
      <c r="F205" s="111">
        <f>VLOOKUP(E205,Professions!$DQ$1:$DX$203,3)</f>
        <v>-15</v>
      </c>
      <c r="G205" s="111" t="s">
        <v>445</v>
      </c>
      <c r="H205" s="111">
        <f>Stats!$I$22</f>
        <v>10</v>
      </c>
      <c r="I205" s="111"/>
      <c r="J205" s="111"/>
      <c r="K205" s="197">
        <f>F205+H205+I205+J205+$K$195</f>
        <v>-3.01</v>
      </c>
      <c r="M205" s="304"/>
      <c r="O205" s="80">
        <f t="shared" si="22"/>
        <v>0</v>
      </c>
      <c r="P205" s="115"/>
      <c r="Q205" s="305"/>
      <c r="Y205" s="80">
        <v>203</v>
      </c>
    </row>
    <row r="206" spans="1:25" ht="12.75" customHeight="1" x14ac:dyDescent="0.2">
      <c r="A206" s="423" t="s">
        <v>366</v>
      </c>
      <c r="B206" s="423"/>
      <c r="C206" s="106" t="s">
        <v>4015</v>
      </c>
      <c r="D206" s="106" t="s">
        <v>4016</v>
      </c>
      <c r="E206" s="106" t="s">
        <v>367</v>
      </c>
      <c r="F206" s="106" t="s">
        <v>368</v>
      </c>
      <c r="G206" s="106" t="s">
        <v>369</v>
      </c>
      <c r="H206" s="292" t="s">
        <v>370</v>
      </c>
      <c r="I206" s="106" t="s">
        <v>371</v>
      </c>
      <c r="J206" s="293" t="s">
        <v>205</v>
      </c>
      <c r="K206" s="293" t="s">
        <v>207</v>
      </c>
      <c r="M206" s="304"/>
      <c r="O206" s="80" t="s">
        <v>367</v>
      </c>
      <c r="P206" s="115"/>
      <c r="Q206" s="305"/>
      <c r="Y206" s="80">
        <v>204</v>
      </c>
    </row>
    <row r="207" spans="1:25" ht="12.75" customHeight="1" x14ac:dyDescent="0.2">
      <c r="A207" s="244" t="s">
        <v>598</v>
      </c>
      <c r="B207" s="204"/>
      <c r="C207" s="226" t="str">
        <f>HLOOKUP(Stats!$B$5,Professions!$E$2:$DD$57,27,0)</f>
        <v>2/5</v>
      </c>
      <c r="D207" s="226" t="str">
        <f>IF(Stats!$B$6="","",HLOOKUP(Stats!$B$6,Professions!$E$2:$DD$57,27,0))</f>
        <v>8</v>
      </c>
      <c r="E207" s="302"/>
      <c r="F207" s="302">
        <f>VLOOKUP(E207,Professions!$DQ$1:$DX$203,2)</f>
        <v>-15</v>
      </c>
      <c r="G207" s="302" t="s">
        <v>407</v>
      </c>
      <c r="H207" s="302">
        <f>Stats!$I$22+Stats!$I$21</f>
        <v>15</v>
      </c>
      <c r="I207" s="303">
        <f>IF(Stats!$M$4="",HLOOKUP(Stats!$B$5,Professions!$F$59:$DD$114,Professions!$DF$28,0),((HLOOKUP(Stats!$B$5,Professions!$F$59:$DD$114,Professions!$DF$28,0)+HLOOKUP(Stats!$B$6,Professions!$F$59:$DD$114,Professions!$DF$28,0))/2-0.01))</f>
        <v>4.99</v>
      </c>
      <c r="J207" s="302"/>
      <c r="K207" s="303">
        <f>F207+H207+I207+J207</f>
        <v>4.99</v>
      </c>
      <c r="M207" s="304"/>
      <c r="O207" s="80">
        <f t="shared" ref="O207:O238" si="24">E207+M207</f>
        <v>0</v>
      </c>
      <c r="P207" s="115"/>
      <c r="Q207" s="305">
        <f>HLOOKUP(Stats!$B$2,Races!$AK$4:$EH$50,Races!EH29,0)</f>
        <v>0</v>
      </c>
      <c r="Y207" s="80">
        <v>205</v>
      </c>
    </row>
    <row r="208" spans="1:25" ht="12.75" customHeight="1" x14ac:dyDescent="0.2">
      <c r="A208" s="179"/>
      <c r="B208" s="257" t="s">
        <v>599</v>
      </c>
      <c r="C208" s="111" t="str">
        <f>HLOOKUP(Stats!$B$5,Professions!$E$2:$DD$57,27,0)</f>
        <v>2/5</v>
      </c>
      <c r="D208" s="111" t="str">
        <f>IF(Stats!$B$6="","",HLOOKUP(Stats!$B$6,Professions!$E$2:$DD$57,27,0))</f>
        <v>8</v>
      </c>
      <c r="E208" s="111"/>
      <c r="F208" s="111">
        <f>VLOOKUP(E208,Professions!$DQ$1:$DX$203,3)</f>
        <v>-15</v>
      </c>
      <c r="G208" s="111" t="s">
        <v>409</v>
      </c>
      <c r="H208" s="111">
        <f>Stats!$I$20</f>
        <v>2</v>
      </c>
      <c r="I208" s="111"/>
      <c r="J208" s="111"/>
      <c r="K208" s="197">
        <f>F208+H208+I208+J208+$K$207</f>
        <v>-8.01</v>
      </c>
      <c r="M208" s="304"/>
      <c r="O208" s="80">
        <f t="shared" si="24"/>
        <v>0</v>
      </c>
      <c r="P208" s="115"/>
      <c r="Q208" s="305"/>
      <c r="Y208" s="80">
        <v>206</v>
      </c>
    </row>
    <row r="209" spans="1:25" ht="12.75" customHeight="1" x14ac:dyDescent="0.2">
      <c r="A209" s="111"/>
      <c r="B209" s="246" t="s">
        <v>602</v>
      </c>
      <c r="C209" s="111" t="str">
        <f>HLOOKUP(Stats!$B$5,Professions!$E$2:$DD$57,27,0)</f>
        <v>2/5</v>
      </c>
      <c r="D209" s="111" t="str">
        <f>IF(Stats!$B$6="","",HLOOKUP(Stats!$B$6,Professions!$E$2:$DD$57,27,0))</f>
        <v>8</v>
      </c>
      <c r="E209" s="111"/>
      <c r="F209" s="111">
        <f>VLOOKUP(E209,Professions!$DQ$1:$DX$203,3)</f>
        <v>-15</v>
      </c>
      <c r="G209" s="111" t="s">
        <v>399</v>
      </c>
      <c r="H209" s="111">
        <f>Stats!$I$16</f>
        <v>0</v>
      </c>
      <c r="I209" s="111"/>
      <c r="J209" s="111"/>
      <c r="K209" s="197">
        <f>F209+H209+I209+J209+$K$207</f>
        <v>-10.01</v>
      </c>
      <c r="M209" s="304"/>
      <c r="O209" s="80">
        <f t="shared" si="24"/>
        <v>0</v>
      </c>
      <c r="P209" s="115"/>
      <c r="Q209" s="305"/>
      <c r="Y209" s="80">
        <v>207</v>
      </c>
    </row>
    <row r="210" spans="1:25" ht="12.75" customHeight="1" x14ac:dyDescent="0.2">
      <c r="A210" s="327" t="s">
        <v>603</v>
      </c>
      <c r="B210" s="180"/>
      <c r="C210" s="180"/>
      <c r="D210" s="180"/>
      <c r="E210" s="157"/>
      <c r="F210" s="157"/>
      <c r="G210" s="157" t="s">
        <v>407</v>
      </c>
      <c r="H210" s="157">
        <f>Stats!$I$22+Stats!$I$21</f>
        <v>15</v>
      </c>
      <c r="I210" s="303">
        <f>IF(Stats!$M$4="",HLOOKUP(Stats!$B$5,Professions!$F$59:$DD$114,Professions!$DF$29,0),((HLOOKUP(Stats!$B$5,Professions!$F$59:$DD$114,Professions!$DF$29,0)+HLOOKUP(Stats!$B$6,Professions!$F$59:$DD$114,Professions!$DF$29,0))/2-0.01))</f>
        <v>7.49</v>
      </c>
      <c r="J210" s="157"/>
      <c r="K210" s="329">
        <f>F210+H210+I210+J210</f>
        <v>22.490000000000002</v>
      </c>
      <c r="M210" s="304"/>
      <c r="O210" s="80">
        <f t="shared" si="24"/>
        <v>0</v>
      </c>
      <c r="P210" s="115"/>
      <c r="Q210" s="305"/>
      <c r="Y210" s="80">
        <v>208</v>
      </c>
    </row>
    <row r="211" spans="1:25" ht="12.75" customHeight="1" x14ac:dyDescent="0.2">
      <c r="A211" s="179"/>
      <c r="B211" s="257" t="s">
        <v>4006</v>
      </c>
      <c r="C211" s="111" t="str">
        <f>HLOOKUP(Stats!$B$5,Professions!$E$2:$DD$57,28,0)</f>
        <v>4/10</v>
      </c>
      <c r="D211" s="111" t="str">
        <f>IF(Stats!$B$6="","",HLOOKUP(Stats!$B$6,Professions!$E$2:$DD$57,28,0))</f>
        <v>18</v>
      </c>
      <c r="E211" s="111"/>
      <c r="F211" s="111">
        <f>VLOOKUP(E211,Professions!$DQ$1:$DX$203,5)</f>
        <v>-30</v>
      </c>
      <c r="G211" s="111" t="s">
        <v>220</v>
      </c>
      <c r="H211" s="111">
        <f>Stats!$I$15</f>
        <v>7</v>
      </c>
      <c r="I211" s="111"/>
      <c r="J211" s="111"/>
      <c r="K211" s="197">
        <f t="shared" ref="K211:K217" si="25">F211+H211+I211+J211+$K$210</f>
        <v>-0.50999999999999801</v>
      </c>
      <c r="M211" s="304"/>
      <c r="O211" s="80">
        <f t="shared" si="24"/>
        <v>0</v>
      </c>
      <c r="P211" s="115"/>
      <c r="Q211" s="305"/>
      <c r="Y211" s="80">
        <v>209</v>
      </c>
    </row>
    <row r="212" spans="1:25" ht="12.75" customHeight="1" x14ac:dyDescent="0.2">
      <c r="A212" s="111"/>
      <c r="B212" s="246" t="s">
        <v>604</v>
      </c>
      <c r="C212" s="111" t="str">
        <f>HLOOKUP(Stats!$B$5,Professions!$E$2:$DD$57,28,0)</f>
        <v>4/10</v>
      </c>
      <c r="D212" s="111" t="str">
        <f>IF(Stats!$B$6="","",HLOOKUP(Stats!$B$6,Professions!$E$2:$DD$57,28,0))</f>
        <v>18</v>
      </c>
      <c r="E212" s="111"/>
      <c r="F212" s="111">
        <f>VLOOKUP(E212,Professions!$DQ$1:$DX$203,5)</f>
        <v>-30</v>
      </c>
      <c r="G212" s="111" t="s">
        <v>220</v>
      </c>
      <c r="H212" s="111">
        <f>Stats!$I$15</f>
        <v>7</v>
      </c>
      <c r="I212" s="111"/>
      <c r="J212" s="111"/>
      <c r="K212" s="197">
        <f t="shared" si="25"/>
        <v>-0.50999999999999801</v>
      </c>
      <c r="M212" s="304"/>
      <c r="O212" s="80">
        <f t="shared" si="24"/>
        <v>0</v>
      </c>
      <c r="P212" s="115"/>
      <c r="Q212" s="305"/>
      <c r="Y212" s="80">
        <v>210</v>
      </c>
    </row>
    <row r="213" spans="1:25" ht="12.75" customHeight="1" x14ac:dyDescent="0.2">
      <c r="A213" s="111"/>
      <c r="B213" s="246" t="s">
        <v>605</v>
      </c>
      <c r="C213" s="111" t="str">
        <f>HLOOKUP(Stats!$B$5,Professions!$E$2:$DD$57,28,0)</f>
        <v>4/10</v>
      </c>
      <c r="D213" s="111" t="str">
        <f>IF(Stats!$B$6="","",HLOOKUP(Stats!$B$6,Professions!$E$2:$DD$57,28,0))</f>
        <v>18</v>
      </c>
      <c r="E213" s="111"/>
      <c r="F213" s="111">
        <f>VLOOKUP(E213,Professions!$DQ$1:$DX$203,5)</f>
        <v>-30</v>
      </c>
      <c r="G213" s="111" t="s">
        <v>409</v>
      </c>
      <c r="H213" s="111">
        <f>Stats!$I$20</f>
        <v>2</v>
      </c>
      <c r="I213" s="111"/>
      <c r="J213" s="111"/>
      <c r="K213" s="197">
        <f t="shared" si="25"/>
        <v>-5.509999999999998</v>
      </c>
      <c r="M213" s="304"/>
      <c r="O213" s="80">
        <f t="shared" si="24"/>
        <v>0</v>
      </c>
      <c r="P213" s="115"/>
      <c r="Q213" s="305"/>
      <c r="Y213" s="80">
        <v>211</v>
      </c>
    </row>
    <row r="214" spans="1:25" ht="12.75" customHeight="1" x14ac:dyDescent="0.2">
      <c r="A214" s="111"/>
      <c r="B214" s="246" t="s">
        <v>605</v>
      </c>
      <c r="C214" s="111" t="str">
        <f>HLOOKUP(Stats!$B$5,Professions!$E$2:$DD$57,28,0)</f>
        <v>4/10</v>
      </c>
      <c r="D214" s="111" t="str">
        <f>IF(Stats!$B$6="","",HLOOKUP(Stats!$B$6,Professions!$E$2:$DD$57,28,0))</f>
        <v>18</v>
      </c>
      <c r="E214" s="111"/>
      <c r="F214" s="111">
        <f>VLOOKUP(E214,Professions!$DQ$1:$DX$203,5)</f>
        <v>-30</v>
      </c>
      <c r="G214" s="111" t="s">
        <v>409</v>
      </c>
      <c r="H214" s="111">
        <f>Stats!$I$20</f>
        <v>2</v>
      </c>
      <c r="I214" s="111"/>
      <c r="J214" s="111"/>
      <c r="K214" s="197">
        <f t="shared" si="25"/>
        <v>-5.509999999999998</v>
      </c>
      <c r="M214" s="304"/>
      <c r="O214" s="80">
        <f t="shared" si="24"/>
        <v>0</v>
      </c>
      <c r="P214" s="115"/>
      <c r="Q214" s="305"/>
      <c r="Y214" s="80">
        <v>212</v>
      </c>
    </row>
    <row r="215" spans="1:25" ht="12.75" customHeight="1" x14ac:dyDescent="0.2">
      <c r="A215" s="111"/>
      <c r="B215" s="246" t="s">
        <v>605</v>
      </c>
      <c r="C215" s="111" t="str">
        <f>HLOOKUP(Stats!$B$5,Professions!$E$2:$DD$57,28,0)</f>
        <v>4/10</v>
      </c>
      <c r="D215" s="111" t="str">
        <f>IF(Stats!$B$6="","",HLOOKUP(Stats!$B$6,Professions!$E$2:$DD$57,28,0))</f>
        <v>18</v>
      </c>
      <c r="E215" s="111"/>
      <c r="F215" s="111">
        <f>VLOOKUP(E215,Professions!$DQ$1:$DX$203,5)</f>
        <v>-30</v>
      </c>
      <c r="G215" s="111" t="s">
        <v>409</v>
      </c>
      <c r="H215" s="111">
        <f>Stats!$I$20</f>
        <v>2</v>
      </c>
      <c r="I215" s="111"/>
      <c r="J215" s="111"/>
      <c r="K215" s="197">
        <f t="shared" si="25"/>
        <v>-5.509999999999998</v>
      </c>
      <c r="M215" s="304"/>
      <c r="O215" s="80">
        <f t="shared" si="24"/>
        <v>0</v>
      </c>
      <c r="P215" s="115"/>
      <c r="Q215" s="305"/>
      <c r="Y215" s="80">
        <v>213</v>
      </c>
    </row>
    <row r="216" spans="1:25" ht="12.75" customHeight="1" x14ac:dyDescent="0.2">
      <c r="A216" s="111"/>
      <c r="B216" s="246" t="s">
        <v>605</v>
      </c>
      <c r="C216" s="111" t="str">
        <f>HLOOKUP(Stats!$B$5,Professions!$E$2:$DD$57,28,0)</f>
        <v>4/10</v>
      </c>
      <c r="D216" s="111" t="str">
        <f>IF(Stats!$B$6="","",HLOOKUP(Stats!$B$6,Professions!$E$2:$DD$57,28,0))</f>
        <v>18</v>
      </c>
      <c r="E216" s="111"/>
      <c r="F216" s="111">
        <f>VLOOKUP(E216,Professions!$DQ$1:$DX$203,5)</f>
        <v>-30</v>
      </c>
      <c r="G216" s="111" t="s">
        <v>409</v>
      </c>
      <c r="H216" s="111">
        <f>Stats!$I$20</f>
        <v>2</v>
      </c>
      <c r="I216" s="111"/>
      <c r="J216" s="111"/>
      <c r="K216" s="197">
        <f t="shared" si="25"/>
        <v>-5.509999999999998</v>
      </c>
      <c r="M216" s="304"/>
      <c r="O216" s="80">
        <f t="shared" si="24"/>
        <v>0</v>
      </c>
      <c r="P216" s="115"/>
      <c r="Q216" s="305"/>
      <c r="Y216" s="80">
        <v>214</v>
      </c>
    </row>
    <row r="217" spans="1:25" ht="12.75" customHeight="1" x14ac:dyDescent="0.2">
      <c r="A217" s="338" t="s">
        <v>476</v>
      </c>
      <c r="B217" s="339" t="s">
        <v>606</v>
      </c>
      <c r="C217" s="111" t="str">
        <f>HLOOKUP(Stats!$B$5,Professions!$E$2:$DD$57,28,0)</f>
        <v>4/10</v>
      </c>
      <c r="D217" s="111" t="str">
        <f>IF(Stats!$B$6="","",HLOOKUP(Stats!$B$6,Professions!$E$2:$DD$57,28,0))</f>
        <v>18</v>
      </c>
      <c r="E217" s="111"/>
      <c r="F217" s="111">
        <f>VLOOKUP(E217,Professions!$DQ$1:$DX$203,5)</f>
        <v>-30</v>
      </c>
      <c r="G217" s="111" t="s">
        <v>409</v>
      </c>
      <c r="H217" s="111">
        <f>Stats!$I$20</f>
        <v>2</v>
      </c>
      <c r="I217" s="111"/>
      <c r="J217" s="111"/>
      <c r="K217" s="197">
        <f t="shared" si="25"/>
        <v>-5.509999999999998</v>
      </c>
      <c r="M217" s="304"/>
      <c r="O217" s="80">
        <f t="shared" si="24"/>
        <v>0</v>
      </c>
      <c r="P217" s="115"/>
      <c r="Q217" s="305"/>
      <c r="Y217" s="80">
        <v>215</v>
      </c>
    </row>
    <row r="218" spans="1:25" ht="12.75" customHeight="1" x14ac:dyDescent="0.2">
      <c r="A218" s="244" t="s">
        <v>607</v>
      </c>
      <c r="B218" s="204"/>
      <c r="C218" s="226"/>
      <c r="D218" s="226"/>
      <c r="E218" s="302"/>
      <c r="F218" s="302"/>
      <c r="G218" s="302" t="str">
        <f>Stats!$C$39</f>
        <v>Ess/Chan</v>
      </c>
      <c r="H218" s="303">
        <f>VLOOKUP(Stats!$C$39,Professions!$E$120:$F$127,2,0)</f>
        <v>7.5</v>
      </c>
      <c r="I218" s="303">
        <f>IF(Stats!$M$4="",HLOOKUP(Stats!$B$5,Professions!$F$59:$DD$114,Professions!$DF$30,0),((HLOOKUP(Stats!$B$5,Professions!$F$59:$DD$114,Professions!$DF$30,0)+HLOOKUP(Stats!$B$6,Professions!$F$59:$DD$114,Professions!$DF$30,0))/2-0.01))</f>
        <v>2.4900000000000002</v>
      </c>
      <c r="J218" s="302"/>
      <c r="K218" s="303">
        <f>F218+H218+I218+J218</f>
        <v>9.99</v>
      </c>
      <c r="M218" s="304"/>
      <c r="O218" s="80">
        <f t="shared" si="24"/>
        <v>0</v>
      </c>
      <c r="P218" s="115"/>
      <c r="Q218" s="305"/>
      <c r="Y218" s="80">
        <v>216</v>
      </c>
    </row>
    <row r="219" spans="1:25" ht="12.75" customHeight="1" x14ac:dyDescent="0.2">
      <c r="A219" s="175"/>
      <c r="B219" s="308" t="s">
        <v>280</v>
      </c>
      <c r="C219" s="111" t="str">
        <f>HLOOKUP(Stats!$B$5,Professions!$E$2:$DD$57,29,0)</f>
        <v>6</v>
      </c>
      <c r="D219" s="111" t="str">
        <f>IF(Stats!$B$6="","",HLOOKUP(Stats!$B$6,Professions!$E$2:$DD$57,29,0))</f>
        <v>20</v>
      </c>
      <c r="E219" s="111"/>
      <c r="F219" s="111">
        <f>VLOOKUP(E219,Professions!$DQ$1:$DX$203,7)</f>
        <v>0</v>
      </c>
      <c r="G219" s="111"/>
      <c r="H219" s="111"/>
      <c r="I219" s="111"/>
      <c r="J219" s="111"/>
      <c r="K219" s="197">
        <f>F219+H219+I219+J219+$K$218</f>
        <v>9.99</v>
      </c>
      <c r="M219" s="304"/>
      <c r="O219" s="80">
        <f t="shared" si="24"/>
        <v>0</v>
      </c>
      <c r="P219" s="115"/>
      <c r="Q219" s="305"/>
      <c r="Y219" s="80">
        <v>217</v>
      </c>
    </row>
    <row r="220" spans="1:25" ht="12.75" customHeight="1" x14ac:dyDescent="0.2">
      <c r="A220" s="244" t="s">
        <v>608</v>
      </c>
      <c r="B220" s="204"/>
      <c r="C220" s="226" t="str">
        <f>HLOOKUP(Stats!$B$5,Professions!$E$2:$DD$57,30,0)</f>
        <v>1/4</v>
      </c>
      <c r="D220" s="226" t="str">
        <f>IF(Stats!$B$6="","",HLOOKUP(Stats!$B$6,Professions!$E$2:$DD$57,30,0))</f>
        <v>3/6</v>
      </c>
      <c r="E220" s="302"/>
      <c r="F220" s="302">
        <f>VLOOKUP(E220,Professions!$DQ$1:$DX$203,2)</f>
        <v>-15</v>
      </c>
      <c r="G220" s="302" t="s">
        <v>499</v>
      </c>
      <c r="H220" s="302">
        <f>Stats!$I$17+Stats!$I$16</f>
        <v>0</v>
      </c>
      <c r="I220" s="303">
        <f>IF(Stats!$M$4="",HLOOKUP(Stats!$B$5,Professions!$F$59:$DD$114,Professions!$DF$31,0),((HLOOKUP(Stats!$B$5,Professions!$F$59:$DD$114,Professions!$DF$31,0)+HLOOKUP(Stats!$B$6,Professions!$F$59:$DD$114,Professions!$DF$31,0))/2-0.01))</f>
        <v>-0.01</v>
      </c>
      <c r="J220" s="302"/>
      <c r="K220" s="303">
        <f>F220+H220+I220+J220</f>
        <v>-15.01</v>
      </c>
      <c r="M220" s="304"/>
      <c r="O220" s="80">
        <f t="shared" si="24"/>
        <v>0</v>
      </c>
      <c r="P220" s="115"/>
      <c r="Q220" s="305">
        <f>HLOOKUP(Stats!$B$2,Races!$AK$4:$EH$50,Races!EH30,0)</f>
        <v>0</v>
      </c>
      <c r="Y220" s="80">
        <v>218</v>
      </c>
    </row>
    <row r="221" spans="1:25" ht="12.75" customHeight="1" x14ac:dyDescent="0.2">
      <c r="A221" s="179"/>
      <c r="B221" s="257" t="s">
        <v>609</v>
      </c>
      <c r="C221" s="111" t="str">
        <f>HLOOKUP(Stats!$B$5,Professions!$E$2:$DD$57,30,0)</f>
        <v>1/4</v>
      </c>
      <c r="D221" s="111" t="str">
        <f>IF(Stats!$B$6="","",HLOOKUP(Stats!$B$6,Professions!$E$2:$DD$57,30,0))</f>
        <v>3/6</v>
      </c>
      <c r="E221" s="111"/>
      <c r="F221" s="111">
        <f>VLOOKUP(E221,Professions!$DQ$1:$DX$203,3)</f>
        <v>-15</v>
      </c>
      <c r="G221" s="111" t="s">
        <v>413</v>
      </c>
      <c r="H221" s="111">
        <f>Stats!$I$17</f>
        <v>0</v>
      </c>
      <c r="I221" s="111"/>
      <c r="J221" s="111"/>
      <c r="K221" s="197">
        <f>F221+H221+I221+J221+$K$220</f>
        <v>-30.009999999999998</v>
      </c>
      <c r="M221" s="304"/>
      <c r="O221" s="80">
        <f t="shared" si="24"/>
        <v>0</v>
      </c>
      <c r="P221" s="115"/>
      <c r="Q221" s="305"/>
      <c r="Y221" s="80">
        <v>219</v>
      </c>
    </row>
    <row r="222" spans="1:25" ht="12.75" customHeight="1" x14ac:dyDescent="0.2">
      <c r="A222" s="148"/>
      <c r="B222" s="309" t="s">
        <v>610</v>
      </c>
      <c r="C222" s="111" t="str">
        <f>HLOOKUP(Stats!$B$5,Professions!$E$2:$DD$57,30,0)</f>
        <v>1/4</v>
      </c>
      <c r="D222" s="111" t="str">
        <f>IF(Stats!$B$6="","",HLOOKUP(Stats!$B$6,Professions!$E$2:$DD$57,30,0))</f>
        <v>3/6</v>
      </c>
      <c r="E222" s="111"/>
      <c r="F222" s="111">
        <f>VLOOKUP(E222,Professions!$DQ$1:$DX$203,3)</f>
        <v>-15</v>
      </c>
      <c r="G222" s="111" t="s">
        <v>220</v>
      </c>
      <c r="H222" s="111">
        <f>Stats!$I$15</f>
        <v>7</v>
      </c>
      <c r="I222" s="111"/>
      <c r="J222" s="111"/>
      <c r="K222" s="197">
        <f>F222+H222+I222+J222+$K$220</f>
        <v>-23.009999999999998</v>
      </c>
      <c r="M222" s="304"/>
      <c r="O222" s="80">
        <f t="shared" si="24"/>
        <v>0</v>
      </c>
      <c r="P222" s="115"/>
      <c r="Q222" s="305"/>
      <c r="Y222" s="80">
        <v>220</v>
      </c>
    </row>
    <row r="223" spans="1:25" ht="12.75" customHeight="1" x14ac:dyDescent="0.2">
      <c r="A223" s="244" t="s">
        <v>611</v>
      </c>
      <c r="B223" s="204"/>
      <c r="C223" s="226"/>
      <c r="D223" s="226"/>
      <c r="E223" s="302"/>
      <c r="F223" s="302"/>
      <c r="G223" s="302" t="s">
        <v>499</v>
      </c>
      <c r="H223" s="302">
        <f>Stats!$I$17+Stats!$I$16</f>
        <v>0</v>
      </c>
      <c r="I223" s="303">
        <f>IF(Stats!$M$4="",HLOOKUP(Stats!$B$5,Professions!$F$59:$DD$114,Professions!$DF$32,0),((HLOOKUP(Stats!$B$5,Professions!$F$59:$DD$114,Professions!$DF$32,0)+HLOOKUP(Stats!$B$6,Professions!$F$59:$DD$114,Professions!$DF$32,0))/2-0.01))</f>
        <v>-0.01</v>
      </c>
      <c r="J223" s="302"/>
      <c r="K223" s="303">
        <f>F223+H223+I223+J223</f>
        <v>-0.01</v>
      </c>
      <c r="M223" s="304"/>
      <c r="O223" s="80">
        <f t="shared" si="24"/>
        <v>0</v>
      </c>
      <c r="P223" s="115"/>
      <c r="Q223" s="305"/>
      <c r="Y223" s="80">
        <v>221</v>
      </c>
    </row>
    <row r="224" spans="1:25" ht="12.75" customHeight="1" x14ac:dyDescent="0.2">
      <c r="A224" s="179"/>
      <c r="B224" s="257" t="s">
        <v>612</v>
      </c>
      <c r="C224" s="111" t="str">
        <f>HLOOKUP(Stats!$B$5,Professions!$E$2:$DD$57,31,0)</f>
        <v>6/14</v>
      </c>
      <c r="D224" s="111" t="str">
        <f>IF(Stats!$B$6="","",HLOOKUP(Stats!$B$6,Professions!$E$2:$DD$57,31,0))</f>
        <v>12</v>
      </c>
      <c r="E224" s="111"/>
      <c r="F224" s="111">
        <f>VLOOKUP(E224,Professions!$DQ$1:$DX$203,5)</f>
        <v>-30</v>
      </c>
      <c r="G224" s="111" t="s">
        <v>413</v>
      </c>
      <c r="H224" s="111">
        <f>Stats!$I$17</f>
        <v>0</v>
      </c>
      <c r="I224" s="111"/>
      <c r="J224" s="111"/>
      <c r="K224" s="197">
        <f t="shared" ref="K224:K229" si="26">F224+H224+I224+J224+$K$223</f>
        <v>-30.01</v>
      </c>
      <c r="M224" s="304"/>
      <c r="O224" s="80">
        <f t="shared" si="24"/>
        <v>0</v>
      </c>
      <c r="P224" s="115"/>
      <c r="Q224" s="305"/>
      <c r="Y224" s="80">
        <v>222</v>
      </c>
    </row>
    <row r="225" spans="1:25" ht="12.75" customHeight="1" x14ac:dyDescent="0.2">
      <c r="A225" s="111"/>
      <c r="B225" s="246" t="s">
        <v>613</v>
      </c>
      <c r="C225" s="111" t="str">
        <f>HLOOKUP(Stats!$B$5,Professions!$E$2:$DD$57,31,0)</f>
        <v>6/14</v>
      </c>
      <c r="D225" s="111" t="str">
        <f>IF(Stats!$B$6="","",HLOOKUP(Stats!$B$6,Professions!$E$2:$DD$57,31,0))</f>
        <v>12</v>
      </c>
      <c r="E225" s="111"/>
      <c r="F225" s="111">
        <f>VLOOKUP(E225,Professions!$DQ$1:$DX$203,5)</f>
        <v>-30</v>
      </c>
      <c r="G225" s="111" t="s">
        <v>462</v>
      </c>
      <c r="H225" s="111">
        <f>Stats!$I$21</f>
        <v>5</v>
      </c>
      <c r="I225" s="111"/>
      <c r="J225" s="111"/>
      <c r="K225" s="197">
        <f t="shared" si="26"/>
        <v>-25.01</v>
      </c>
      <c r="M225" s="304"/>
      <c r="O225" s="80">
        <f t="shared" si="24"/>
        <v>0</v>
      </c>
      <c r="P225" s="115"/>
      <c r="Q225" s="305"/>
      <c r="Y225" s="80">
        <v>223</v>
      </c>
    </row>
    <row r="226" spans="1:25" ht="12.75" customHeight="1" x14ac:dyDescent="0.2">
      <c r="A226" s="111"/>
      <c r="B226" s="246" t="s">
        <v>614</v>
      </c>
      <c r="C226" s="111" t="str">
        <f>HLOOKUP(Stats!$B$5,Professions!$E$2:$DD$57,31,0)</f>
        <v>6/14</v>
      </c>
      <c r="D226" s="111" t="str">
        <f>IF(Stats!$B$6="","",HLOOKUP(Stats!$B$6,Professions!$E$2:$DD$57,31,0))</f>
        <v>12</v>
      </c>
      <c r="E226" s="111"/>
      <c r="F226" s="111">
        <f>VLOOKUP(E226,Professions!$DQ$1:$DX$203,5)</f>
        <v>-30</v>
      </c>
      <c r="G226" s="111" t="s">
        <v>445</v>
      </c>
      <c r="H226" s="111">
        <f>Stats!$I$22</f>
        <v>10</v>
      </c>
      <c r="I226" s="111"/>
      <c r="J226" s="111"/>
      <c r="K226" s="197">
        <f t="shared" si="26"/>
        <v>-20.010000000000002</v>
      </c>
      <c r="M226" s="304"/>
      <c r="O226" s="80">
        <f t="shared" si="24"/>
        <v>0</v>
      </c>
      <c r="P226" s="115"/>
      <c r="Q226" s="305"/>
      <c r="Y226" s="80">
        <v>224</v>
      </c>
    </row>
    <row r="227" spans="1:25" ht="12.75" customHeight="1" x14ac:dyDescent="0.2">
      <c r="A227" s="111"/>
      <c r="B227" s="246" t="s">
        <v>615</v>
      </c>
      <c r="C227" s="111" t="str">
        <f>HLOOKUP(Stats!$B$5,Professions!$E$2:$DD$57,31,0)</f>
        <v>6/14</v>
      </c>
      <c r="D227" s="111" t="str">
        <f>IF(Stats!$B$6="","",HLOOKUP(Stats!$B$6,Professions!$E$2:$DD$57,31,0))</f>
        <v>12</v>
      </c>
      <c r="E227" s="111"/>
      <c r="F227" s="111">
        <f>VLOOKUP(E227,Professions!$DQ$1:$DX$203,5)</f>
        <v>-30</v>
      </c>
      <c r="G227" s="111" t="s">
        <v>409</v>
      </c>
      <c r="H227" s="111">
        <f>Stats!$I$20</f>
        <v>2</v>
      </c>
      <c r="I227" s="111"/>
      <c r="J227" s="111"/>
      <c r="K227" s="197">
        <f t="shared" si="26"/>
        <v>-28.01</v>
      </c>
      <c r="M227" s="304"/>
      <c r="O227" s="80">
        <f t="shared" si="24"/>
        <v>0</v>
      </c>
      <c r="P227" s="115"/>
      <c r="Q227" s="305"/>
      <c r="Y227" s="80">
        <v>225</v>
      </c>
    </row>
    <row r="228" spans="1:25" ht="12.75" customHeight="1" x14ac:dyDescent="0.2">
      <c r="A228" s="111"/>
      <c r="B228" s="246" t="s">
        <v>616</v>
      </c>
      <c r="C228" s="111" t="str">
        <f>HLOOKUP(Stats!$B$5,Professions!$E$2:$DD$57,31,0)</f>
        <v>6/14</v>
      </c>
      <c r="D228" s="111" t="str">
        <f>IF(Stats!$B$6="","",HLOOKUP(Stats!$B$6,Professions!$E$2:$DD$57,31,0))</f>
        <v>12</v>
      </c>
      <c r="E228" s="111"/>
      <c r="F228" s="111">
        <f>VLOOKUP(E228,Professions!$DQ$1:$DX$203,5)</f>
        <v>-30</v>
      </c>
      <c r="G228" s="111" t="s">
        <v>445</v>
      </c>
      <c r="H228" s="111">
        <f>Stats!$I$22</f>
        <v>10</v>
      </c>
      <c r="I228" s="111"/>
      <c r="J228" s="111"/>
      <c r="K228" s="197">
        <f t="shared" si="26"/>
        <v>-20.010000000000002</v>
      </c>
      <c r="M228" s="304"/>
      <c r="O228" s="80">
        <f t="shared" si="24"/>
        <v>0</v>
      </c>
      <c r="P228" s="115"/>
      <c r="Q228" s="305"/>
      <c r="Y228" s="80">
        <v>226</v>
      </c>
    </row>
    <row r="229" spans="1:25" ht="12.75" customHeight="1" x14ac:dyDescent="0.2">
      <c r="A229" s="148"/>
      <c r="B229" s="309" t="s">
        <v>617</v>
      </c>
      <c r="C229" s="111" t="str">
        <f>HLOOKUP(Stats!$B$5,Professions!$E$2:$DD$57,31,0)</f>
        <v>6/14</v>
      </c>
      <c r="D229" s="111" t="str">
        <f>IF(Stats!$B$6="","",HLOOKUP(Stats!$B$6,Professions!$E$2:$DD$57,31,0))</f>
        <v>12</v>
      </c>
      <c r="E229" s="111"/>
      <c r="F229" s="111">
        <f>VLOOKUP(E229,Professions!$DQ$1:$DX$203,5)</f>
        <v>-30</v>
      </c>
      <c r="G229" s="111" t="s">
        <v>409</v>
      </c>
      <c r="H229" s="111">
        <f>Stats!$I$20</f>
        <v>2</v>
      </c>
      <c r="I229" s="111"/>
      <c r="J229" s="111"/>
      <c r="K229" s="197">
        <f t="shared" si="26"/>
        <v>-28.01</v>
      </c>
      <c r="M229" s="304"/>
      <c r="O229" s="80">
        <f t="shared" si="24"/>
        <v>0</v>
      </c>
      <c r="P229" s="115"/>
      <c r="Q229" s="305"/>
      <c r="Y229" s="80">
        <v>227</v>
      </c>
    </row>
    <row r="230" spans="1:25" ht="12.75" customHeight="1" x14ac:dyDescent="0.2">
      <c r="A230" s="244" t="s">
        <v>618</v>
      </c>
      <c r="B230" s="204"/>
      <c r="C230" s="226" t="str">
        <f>HLOOKUP(Stats!$B$5,Professions!$E$2:$DD$57,32,0)</f>
        <v>5</v>
      </c>
      <c r="D230" s="226" t="str">
        <f>IF(Stats!$B$6="","",HLOOKUP(Stats!$B$6,Professions!$E$2:$DD$57,32,0))</f>
        <v>2/6</v>
      </c>
      <c r="E230" s="302"/>
      <c r="F230" s="302">
        <f>VLOOKUP(E230,Professions!$DQ$1:$DX$203,2)</f>
        <v>-15</v>
      </c>
      <c r="G230" s="302" t="s">
        <v>619</v>
      </c>
      <c r="H230" s="302">
        <f>Stats!I15+Stats!I20</f>
        <v>9</v>
      </c>
      <c r="I230" s="303">
        <f>IF(Stats!$M$4="",HLOOKUP(Stats!$B$5,Professions!$F$59:$DD$114,Professions!$DF$33,0),((HLOOKUP(Stats!$B$5,Professions!$F$59:$DD$114,Professions!$DF$33,0)+HLOOKUP(Stats!$B$6,Professions!$F$59:$DD$114,Professions!$DF$33,0))/2-0.01))</f>
        <v>-0.01</v>
      </c>
      <c r="J230" s="302"/>
      <c r="K230" s="303">
        <f>F230+H230+I230+J230</f>
        <v>-6.01</v>
      </c>
      <c r="M230" s="304"/>
      <c r="O230" s="80">
        <f t="shared" si="24"/>
        <v>0</v>
      </c>
      <c r="P230" s="115"/>
      <c r="Q230" s="305"/>
      <c r="Y230" s="80">
        <v>228</v>
      </c>
    </row>
    <row r="231" spans="1:25" ht="12.75" customHeight="1" x14ac:dyDescent="0.2">
      <c r="A231" s="111"/>
      <c r="B231" s="246" t="s">
        <v>620</v>
      </c>
      <c r="C231" s="250" t="str">
        <f>HLOOKUP(Stats!$B$5,Professions!$E$2:$DD$57,32,0)</f>
        <v>5</v>
      </c>
      <c r="D231" s="250" t="str">
        <f>IF(Stats!$B$6="","",HLOOKUP(Stats!$B$6,Professions!$E$2:$DD$57,32,0))</f>
        <v>2/6</v>
      </c>
      <c r="E231" s="111"/>
      <c r="F231" s="111">
        <f>VLOOKUP(E231,Professions!$DQ$1:$DX$203,3)</f>
        <v>-15</v>
      </c>
      <c r="G231" s="111" t="s">
        <v>409</v>
      </c>
      <c r="H231" s="111">
        <f>Stats!$I$20</f>
        <v>2</v>
      </c>
      <c r="I231" s="111"/>
      <c r="J231" s="111"/>
      <c r="K231" s="197">
        <f t="shared" ref="K231:K245" si="27">F231+H231+I231+J231+$K$230</f>
        <v>-19.009999999999998</v>
      </c>
      <c r="M231" s="304"/>
      <c r="O231" s="80">
        <f t="shared" si="24"/>
        <v>0</v>
      </c>
      <c r="P231" s="115"/>
      <c r="Q231" s="305"/>
      <c r="Y231" s="80">
        <v>229</v>
      </c>
    </row>
    <row r="232" spans="1:25" ht="12.75" customHeight="1" x14ac:dyDescent="0.2">
      <c r="A232" s="179"/>
      <c r="B232" s="257" t="s">
        <v>621</v>
      </c>
      <c r="C232" s="111" t="str">
        <f>HLOOKUP(Stats!$B$5,Professions!$E$2:$DD$57,32,0)</f>
        <v>5</v>
      </c>
      <c r="D232" s="111" t="str">
        <f>IF(Stats!$B$6="","",HLOOKUP(Stats!$B$6,Professions!$E$2:$DD$57,32,0))</f>
        <v>2/6</v>
      </c>
      <c r="E232" s="111"/>
      <c r="F232" s="111">
        <f>VLOOKUP(E232,Professions!$DQ$1:$DX$203,3)</f>
        <v>-15</v>
      </c>
      <c r="G232" s="111" t="s">
        <v>389</v>
      </c>
      <c r="H232" s="111">
        <f>Stats!$I$14</f>
        <v>7</v>
      </c>
      <c r="I232" s="111"/>
      <c r="J232" s="111"/>
      <c r="K232" s="197">
        <f t="shared" si="27"/>
        <v>-14.01</v>
      </c>
      <c r="M232" s="304"/>
      <c r="O232" s="80">
        <f t="shared" si="24"/>
        <v>0</v>
      </c>
      <c r="P232" s="115"/>
      <c r="Q232" s="305"/>
      <c r="Y232" s="80">
        <v>230</v>
      </c>
    </row>
    <row r="233" spans="1:25" ht="12.75" customHeight="1" x14ac:dyDescent="0.2">
      <c r="A233" s="111"/>
      <c r="B233" s="246" t="s">
        <v>622</v>
      </c>
      <c r="C233" s="111" t="str">
        <f>HLOOKUP(Stats!$B$5,Professions!$E$2:$DD$57,32,0)</f>
        <v>5</v>
      </c>
      <c r="D233" s="111" t="str">
        <f>IF(Stats!$B$6="","",HLOOKUP(Stats!$B$6,Professions!$E$2:$DD$57,32,0))</f>
        <v>2/6</v>
      </c>
      <c r="E233" s="111"/>
      <c r="F233" s="111">
        <f>VLOOKUP(E233,Professions!$DQ$1:$DX$203,3)</f>
        <v>-15</v>
      </c>
      <c r="G233" s="111" t="s">
        <v>384</v>
      </c>
      <c r="H233" s="111">
        <f>Stats!$I$18</f>
        <v>9</v>
      </c>
      <c r="I233" s="111"/>
      <c r="J233" s="111"/>
      <c r="K233" s="197">
        <f t="shared" si="27"/>
        <v>-12.01</v>
      </c>
      <c r="M233" s="304"/>
      <c r="O233" s="80">
        <f t="shared" si="24"/>
        <v>0</v>
      </c>
      <c r="P233" s="115"/>
      <c r="Q233" s="305"/>
      <c r="Y233" s="80">
        <v>231</v>
      </c>
    </row>
    <row r="234" spans="1:25" ht="12.75" customHeight="1" x14ac:dyDescent="0.2">
      <c r="A234" s="111"/>
      <c r="B234" s="246" t="s">
        <v>623</v>
      </c>
      <c r="C234" s="111" t="str">
        <f>HLOOKUP(Stats!$B$5,Professions!$E$2:$DD$57,32,0)</f>
        <v>5</v>
      </c>
      <c r="D234" s="111" t="str">
        <f>IF(Stats!$B$6="","",HLOOKUP(Stats!$B$6,Professions!$E$2:$DD$57,32,0))</f>
        <v>2/6</v>
      </c>
      <c r="E234" s="111"/>
      <c r="F234" s="111">
        <f>VLOOKUP(E234,Professions!$DQ$1:$DX$203,3)</f>
        <v>-15</v>
      </c>
      <c r="G234" s="111" t="s">
        <v>389</v>
      </c>
      <c r="H234" s="111">
        <f>Stats!$I$14</f>
        <v>7</v>
      </c>
      <c r="I234" s="111"/>
      <c r="J234" s="111"/>
      <c r="K234" s="197">
        <f t="shared" si="27"/>
        <v>-14.01</v>
      </c>
      <c r="M234" s="304"/>
      <c r="O234" s="80">
        <f t="shared" si="24"/>
        <v>0</v>
      </c>
      <c r="P234" s="115"/>
      <c r="Q234" s="305"/>
      <c r="Y234" s="80">
        <v>232</v>
      </c>
    </row>
    <row r="235" spans="1:25" ht="12.75" customHeight="1" x14ac:dyDescent="0.2">
      <c r="A235" s="330" t="s">
        <v>476</v>
      </c>
      <c r="B235" s="331" t="s">
        <v>624</v>
      </c>
      <c r="C235" s="111" t="str">
        <f>HLOOKUP(Stats!$B$5,Professions!$E$2:$DD$57,32,0)</f>
        <v>5</v>
      </c>
      <c r="D235" s="111" t="str">
        <f>IF(Stats!$B$6="","",HLOOKUP(Stats!$B$6,Professions!$E$2:$DD$57,32,0))</f>
        <v>2/6</v>
      </c>
      <c r="E235" s="111"/>
      <c r="F235" s="111">
        <f>VLOOKUP(E235,Professions!$DQ$1:$DX$203,3)</f>
        <v>-15</v>
      </c>
      <c r="G235" s="111" t="s">
        <v>220</v>
      </c>
      <c r="H235" s="111">
        <f>Stats!$I$15</f>
        <v>7</v>
      </c>
      <c r="I235" s="111"/>
      <c r="J235" s="111"/>
      <c r="K235" s="197">
        <f t="shared" si="27"/>
        <v>-14.01</v>
      </c>
      <c r="M235" s="304"/>
      <c r="O235" s="80">
        <f t="shared" si="24"/>
        <v>0</v>
      </c>
      <c r="P235" s="115"/>
      <c r="Q235" s="305"/>
      <c r="Y235" s="80">
        <v>233</v>
      </c>
    </row>
    <row r="236" spans="1:25" ht="12.75" customHeight="1" x14ac:dyDescent="0.2">
      <c r="A236" s="111"/>
      <c r="B236" s="246" t="s">
        <v>625</v>
      </c>
      <c r="C236" s="111" t="str">
        <f>HLOOKUP(Stats!$B$5,Professions!$E$2:$DD$57,32,0)</f>
        <v>5</v>
      </c>
      <c r="D236" s="111" t="str">
        <f>IF(Stats!$B$6="","",HLOOKUP(Stats!$B$6,Professions!$E$2:$DD$57,32,0))</f>
        <v>2/6</v>
      </c>
      <c r="E236" s="111"/>
      <c r="F236" s="111">
        <f>VLOOKUP(E236,Professions!$DQ$1:$DX$203,3)</f>
        <v>-15</v>
      </c>
      <c r="G236" s="111" t="s">
        <v>384</v>
      </c>
      <c r="H236" s="111">
        <f>Stats!$I$18</f>
        <v>9</v>
      </c>
      <c r="I236" s="111"/>
      <c r="J236" s="111"/>
      <c r="K236" s="197">
        <f t="shared" si="27"/>
        <v>-12.01</v>
      </c>
      <c r="M236" s="304"/>
      <c r="O236" s="80">
        <f t="shared" si="24"/>
        <v>0</v>
      </c>
      <c r="P236" s="115"/>
      <c r="Q236" s="305"/>
      <c r="Y236" s="80">
        <v>234</v>
      </c>
    </row>
    <row r="237" spans="1:25" ht="12.75" customHeight="1" x14ac:dyDescent="0.2">
      <c r="A237" s="330" t="s">
        <v>476</v>
      </c>
      <c r="B237" s="331" t="s">
        <v>626</v>
      </c>
      <c r="C237" s="111" t="str">
        <f>HLOOKUP(Stats!$B$5,Professions!$E$2:$DD$57,32,0)</f>
        <v>5</v>
      </c>
      <c r="D237" s="111" t="str">
        <f>IF(Stats!$B$6="","",HLOOKUP(Stats!$B$6,Professions!$E$2:$DD$57,32,0))</f>
        <v>2/6</v>
      </c>
      <c r="E237" s="111"/>
      <c r="F237" s="111">
        <f>VLOOKUP(E237,Professions!$DQ$1:$DX$203,3)</f>
        <v>-15</v>
      </c>
      <c r="G237" s="111" t="s">
        <v>220</v>
      </c>
      <c r="H237" s="111">
        <f>Stats!$I$15</f>
        <v>7</v>
      </c>
      <c r="I237" s="111"/>
      <c r="J237" s="111"/>
      <c r="K237" s="197">
        <f t="shared" si="27"/>
        <v>-14.01</v>
      </c>
      <c r="M237" s="304"/>
      <c r="O237" s="80">
        <f t="shared" si="24"/>
        <v>0</v>
      </c>
      <c r="P237" s="115"/>
      <c r="Q237" s="305"/>
      <c r="Y237" s="80">
        <v>235</v>
      </c>
    </row>
    <row r="238" spans="1:25" ht="12.75" customHeight="1" x14ac:dyDescent="0.2">
      <c r="A238" s="330" t="s">
        <v>476</v>
      </c>
      <c r="B238" s="331" t="s">
        <v>627</v>
      </c>
      <c r="C238" s="111" t="str">
        <f>HLOOKUP(Stats!$B$5,Professions!$E$2:$DD$57,32,0)</f>
        <v>5</v>
      </c>
      <c r="D238" s="111" t="str">
        <f>IF(Stats!$B$6="","",HLOOKUP(Stats!$B$6,Professions!$E$2:$DD$57,32,0))</f>
        <v>2/6</v>
      </c>
      <c r="E238" s="111"/>
      <c r="F238" s="111">
        <f>VLOOKUP(E238,Professions!$DQ$1:$DX$203,3)</f>
        <v>-15</v>
      </c>
      <c r="G238" s="111" t="s">
        <v>220</v>
      </c>
      <c r="H238" s="111">
        <f>Stats!$I$15</f>
        <v>7</v>
      </c>
      <c r="I238" s="111"/>
      <c r="J238" s="111"/>
      <c r="K238" s="197">
        <f t="shared" si="27"/>
        <v>-14.01</v>
      </c>
      <c r="M238" s="304"/>
      <c r="O238" s="80">
        <f t="shared" si="24"/>
        <v>0</v>
      </c>
      <c r="P238" s="115"/>
      <c r="Q238" s="305"/>
      <c r="Y238" s="80">
        <v>236</v>
      </c>
    </row>
    <row r="239" spans="1:25" ht="12.75" customHeight="1" x14ac:dyDescent="0.2">
      <c r="A239" s="330" t="s">
        <v>476</v>
      </c>
      <c r="B239" s="331" t="s">
        <v>628</v>
      </c>
      <c r="C239" s="111" t="str">
        <f>HLOOKUP(Stats!$B$5,Professions!$E$2:$DD$57,32,0)</f>
        <v>5</v>
      </c>
      <c r="D239" s="111" t="str">
        <f>IF(Stats!$B$6="","",HLOOKUP(Stats!$B$6,Professions!$E$2:$DD$57,32,0))</f>
        <v>2/6</v>
      </c>
      <c r="E239" s="111"/>
      <c r="F239" s="111">
        <f>VLOOKUP(E239,Professions!$DQ$1:$DX$203,3)</f>
        <v>-15</v>
      </c>
      <c r="G239" s="111" t="s">
        <v>220</v>
      </c>
      <c r="H239" s="111">
        <f>Stats!$I$15</f>
        <v>7</v>
      </c>
      <c r="I239" s="111"/>
      <c r="J239" s="111"/>
      <c r="K239" s="197">
        <f t="shared" si="27"/>
        <v>-14.01</v>
      </c>
      <c r="M239" s="304"/>
      <c r="O239" s="80">
        <f t="shared" ref="O239:O270" si="28">E239+M239</f>
        <v>0</v>
      </c>
      <c r="P239" s="115"/>
      <c r="Q239" s="305"/>
      <c r="Y239" s="80">
        <v>237</v>
      </c>
    </row>
    <row r="240" spans="1:25" ht="12.75" customHeight="1" x14ac:dyDescent="0.2">
      <c r="A240" s="111"/>
      <c r="B240" s="246" t="s">
        <v>629</v>
      </c>
      <c r="C240" s="111" t="str">
        <f>HLOOKUP(Stats!$B$5,Professions!$E$2:$DD$57,32,0)</f>
        <v>5</v>
      </c>
      <c r="D240" s="111" t="str">
        <f>IF(Stats!$B$6="","",HLOOKUP(Stats!$B$6,Professions!$E$2:$DD$57,32,0))</f>
        <v>2/6</v>
      </c>
      <c r="E240" s="111"/>
      <c r="F240" s="111">
        <f>VLOOKUP(E240,Professions!$DQ$1:$DX$203,3)</f>
        <v>-15</v>
      </c>
      <c r="G240" s="111" t="s">
        <v>220</v>
      </c>
      <c r="H240" s="111">
        <f>Stats!$I$15</f>
        <v>7</v>
      </c>
      <c r="I240" s="111"/>
      <c r="J240" s="111"/>
      <c r="K240" s="197">
        <f t="shared" si="27"/>
        <v>-14.01</v>
      </c>
      <c r="M240" s="304"/>
      <c r="O240" s="80">
        <f t="shared" si="28"/>
        <v>0</v>
      </c>
      <c r="P240" s="115"/>
      <c r="Q240" s="305"/>
      <c r="Y240" s="80">
        <v>238</v>
      </c>
    </row>
    <row r="241" spans="1:25" ht="12.75" customHeight="1" x14ac:dyDescent="0.2">
      <c r="A241" s="111"/>
      <c r="B241" s="246" t="s">
        <v>630</v>
      </c>
      <c r="C241" s="111" t="str">
        <f>HLOOKUP(Stats!$B$5,Professions!$E$2:$DD$57,32,0)</f>
        <v>5</v>
      </c>
      <c r="D241" s="111" t="str">
        <f>IF(Stats!$B$6="","",HLOOKUP(Stats!$B$6,Professions!$E$2:$DD$57,32,0))</f>
        <v>2/6</v>
      </c>
      <c r="E241" s="111"/>
      <c r="F241" s="111">
        <f>VLOOKUP(E241,Professions!$DQ$1:$DX$203,3)</f>
        <v>-15</v>
      </c>
      <c r="G241" s="111" t="s">
        <v>462</v>
      </c>
      <c r="H241" s="111">
        <f>Stats!$I$21</f>
        <v>5</v>
      </c>
      <c r="I241" s="111"/>
      <c r="J241" s="111"/>
      <c r="K241" s="197">
        <f t="shared" si="27"/>
        <v>-16.009999999999998</v>
      </c>
      <c r="M241" s="304"/>
      <c r="O241" s="80">
        <f t="shared" si="28"/>
        <v>0</v>
      </c>
      <c r="P241" s="115"/>
      <c r="Q241" s="305"/>
      <c r="Y241" s="80">
        <v>239</v>
      </c>
    </row>
    <row r="242" spans="1:25" ht="12.75" customHeight="1" x14ac:dyDescent="0.2">
      <c r="A242" s="111"/>
      <c r="B242" s="246" t="s">
        <v>631</v>
      </c>
      <c r="C242" s="111" t="str">
        <f>HLOOKUP(Stats!$B$5,Professions!$E$2:$DD$57,32,0)</f>
        <v>5</v>
      </c>
      <c r="D242" s="111" t="str">
        <f>IF(Stats!$B$6="","",HLOOKUP(Stats!$B$6,Professions!$E$2:$DD$57,32,0))</f>
        <v>2/6</v>
      </c>
      <c r="E242" s="111"/>
      <c r="F242" s="111">
        <f>VLOOKUP(E242,Professions!$DQ$1:$DX$203,3)</f>
        <v>-15</v>
      </c>
      <c r="G242" s="111" t="s">
        <v>220</v>
      </c>
      <c r="H242" s="111">
        <f>Stats!$I$15</f>
        <v>7</v>
      </c>
      <c r="I242" s="111"/>
      <c r="J242" s="111"/>
      <c r="K242" s="197">
        <f t="shared" si="27"/>
        <v>-14.01</v>
      </c>
      <c r="M242" s="304"/>
      <c r="O242" s="80">
        <f t="shared" si="28"/>
        <v>0</v>
      </c>
      <c r="P242" s="115"/>
      <c r="Q242" s="305"/>
      <c r="Y242" s="80">
        <v>240</v>
      </c>
    </row>
    <row r="243" spans="1:25" ht="12.75" customHeight="1" x14ac:dyDescent="0.2">
      <c r="A243" s="111"/>
      <c r="B243" s="246" t="s">
        <v>632</v>
      </c>
      <c r="C243" s="111" t="str">
        <f>HLOOKUP(Stats!$B$5,Professions!$E$2:$DD$57,32,0)</f>
        <v>5</v>
      </c>
      <c r="D243" s="111" t="str">
        <f>IF(Stats!$B$6="","",HLOOKUP(Stats!$B$6,Professions!$E$2:$DD$57,32,0))</f>
        <v>2/6</v>
      </c>
      <c r="E243" s="111"/>
      <c r="F243" s="111">
        <f>VLOOKUP(E243,Professions!$DQ$1:$DX$203,3)</f>
        <v>-15</v>
      </c>
      <c r="G243" s="111" t="s">
        <v>399</v>
      </c>
      <c r="H243" s="111">
        <f>Stats!I16</f>
        <v>0</v>
      </c>
      <c r="I243" s="111"/>
      <c r="J243" s="111"/>
      <c r="K243" s="197">
        <f t="shared" si="27"/>
        <v>-21.009999999999998</v>
      </c>
      <c r="M243" s="304"/>
      <c r="O243" s="80">
        <f t="shared" si="28"/>
        <v>0</v>
      </c>
      <c r="P243" s="115"/>
      <c r="Q243" s="305"/>
      <c r="Y243" s="80">
        <v>241</v>
      </c>
    </row>
    <row r="244" spans="1:25" ht="12.75" customHeight="1" x14ac:dyDescent="0.2">
      <c r="A244" s="111"/>
      <c r="B244" s="246" t="s">
        <v>633</v>
      </c>
      <c r="C244" s="111" t="str">
        <f>HLOOKUP(Stats!$B$5,Professions!$E$2:$DD$57,32,0)</f>
        <v>5</v>
      </c>
      <c r="D244" s="111" t="str">
        <f>IF(Stats!$B$6="","",HLOOKUP(Stats!$B$6,Professions!$E$2:$DD$57,32,0))</f>
        <v>2/6</v>
      </c>
      <c r="E244" s="111"/>
      <c r="F244" s="111">
        <f>VLOOKUP(E244,Professions!$DQ$1:$DX$203,3)</f>
        <v>-15</v>
      </c>
      <c r="G244" s="111" t="s">
        <v>220</v>
      </c>
      <c r="H244" s="111">
        <f>Stats!$I$15</f>
        <v>7</v>
      </c>
      <c r="I244" s="111"/>
      <c r="J244" s="111"/>
      <c r="K244" s="197">
        <f t="shared" si="27"/>
        <v>-14.01</v>
      </c>
      <c r="M244" s="304"/>
      <c r="O244" s="80">
        <f t="shared" si="28"/>
        <v>0</v>
      </c>
      <c r="P244" s="115"/>
      <c r="Q244" s="305"/>
      <c r="Y244" s="80">
        <v>242</v>
      </c>
    </row>
    <row r="245" spans="1:25" ht="12.75" customHeight="1" x14ac:dyDescent="0.2">
      <c r="A245" s="148"/>
      <c r="B245" s="309" t="s">
        <v>634</v>
      </c>
      <c r="C245" s="111" t="str">
        <f>HLOOKUP(Stats!$B$5,Professions!$E$2:$DD$57,32,0)</f>
        <v>5</v>
      </c>
      <c r="D245" s="111" t="str">
        <f>IF(Stats!$B$6="","",HLOOKUP(Stats!$B$6,Professions!$E$2:$DD$57,32,0))</f>
        <v>2/6</v>
      </c>
      <c r="E245" s="111"/>
      <c r="F245" s="111">
        <f>VLOOKUP(E245,Professions!$DQ$1:$DX$203,3)</f>
        <v>-15</v>
      </c>
      <c r="G245" s="111" t="s">
        <v>220</v>
      </c>
      <c r="H245" s="111">
        <f>Stats!$I$15</f>
        <v>7</v>
      </c>
      <c r="I245" s="111"/>
      <c r="J245" s="111"/>
      <c r="K245" s="197">
        <f t="shared" si="27"/>
        <v>-14.01</v>
      </c>
      <c r="M245" s="304"/>
      <c r="O245" s="80">
        <f t="shared" si="28"/>
        <v>0</v>
      </c>
      <c r="P245" s="115"/>
      <c r="Q245" s="305"/>
      <c r="Y245" s="80">
        <v>243</v>
      </c>
    </row>
    <row r="246" spans="1:25" ht="12.75" customHeight="1" x14ac:dyDescent="0.2">
      <c r="A246" s="244" t="s">
        <v>635</v>
      </c>
      <c r="B246" s="204"/>
      <c r="C246" s="226"/>
      <c r="D246" s="226"/>
      <c r="E246" s="302"/>
      <c r="F246" s="302"/>
      <c r="G246" s="302" t="s">
        <v>381</v>
      </c>
      <c r="H246" s="302">
        <f>Stats!I18+Stats!I14</f>
        <v>16</v>
      </c>
      <c r="I246" s="303">
        <f>IF(Stats!$M$4="",HLOOKUP(Stats!$B$5,Professions!$F$59:$DD$114,Professions!$DF$34,0),((HLOOKUP(Stats!$B$5,Professions!$F$59:$DD$114,Professions!$DF$34,0)+HLOOKUP(Stats!$B$6,Professions!$F$59:$DD$114,Professions!$DF$34,0))/2-0.01))</f>
        <v>-0.01</v>
      </c>
      <c r="J246" s="302"/>
      <c r="K246" s="303">
        <f>F246+H246+I246+J246</f>
        <v>15.99</v>
      </c>
      <c r="M246" s="304"/>
      <c r="O246" s="80">
        <f t="shared" si="28"/>
        <v>0</v>
      </c>
      <c r="P246" s="115"/>
      <c r="Q246" s="305"/>
      <c r="Y246" s="80">
        <v>244</v>
      </c>
    </row>
    <row r="247" spans="1:25" ht="12.75" customHeight="1" x14ac:dyDescent="0.2">
      <c r="A247" s="179"/>
      <c r="B247" s="257" t="s">
        <v>636</v>
      </c>
      <c r="C247" s="111" t="str">
        <f>HLOOKUP(Stats!$B$5,Professions!$E$2:$DD$57,33,0)</f>
        <v>15</v>
      </c>
      <c r="D247" s="111" t="str">
        <f>IF(Stats!$B$6="","",HLOOKUP(Stats!$B$6,Professions!$E$2:$DD$57,33,0))</f>
        <v>2/6</v>
      </c>
      <c r="E247" s="111"/>
      <c r="F247" s="111">
        <f>VLOOKUP(E247,Professions!$DQ$1:$DX$203,5)</f>
        <v>-30</v>
      </c>
      <c r="G247" s="111" t="s">
        <v>389</v>
      </c>
      <c r="H247" s="111">
        <f>Stats!$I$14</f>
        <v>7</v>
      </c>
      <c r="I247" s="111"/>
      <c r="J247" s="111"/>
      <c r="K247" s="197">
        <f>F247+H247+I247+J247+$K$246</f>
        <v>-7.01</v>
      </c>
      <c r="M247" s="304"/>
      <c r="O247" s="80">
        <f t="shared" si="28"/>
        <v>0</v>
      </c>
      <c r="P247" s="115"/>
      <c r="Q247" s="305"/>
      <c r="Y247" s="80">
        <v>245</v>
      </c>
    </row>
    <row r="248" spans="1:25" ht="12.75" customHeight="1" x14ac:dyDescent="0.2">
      <c r="A248" s="111"/>
      <c r="B248" s="246" t="s">
        <v>636</v>
      </c>
      <c r="C248" s="111" t="str">
        <f>HLOOKUP(Stats!$B$5,Professions!$E$2:$DD$57,33,0)</f>
        <v>15</v>
      </c>
      <c r="D248" s="111" t="str">
        <f>IF(Stats!$B$6="","",HLOOKUP(Stats!$B$6,Professions!$E$2:$DD$57,33,0))</f>
        <v>2/6</v>
      </c>
      <c r="E248" s="111"/>
      <c r="F248" s="111">
        <f>VLOOKUP(E248,Professions!$DQ$1:$DX$203,5)</f>
        <v>-30</v>
      </c>
      <c r="G248" s="111" t="s">
        <v>389</v>
      </c>
      <c r="H248" s="111">
        <f>Stats!$I$14</f>
        <v>7</v>
      </c>
      <c r="I248" s="111"/>
      <c r="J248" s="111"/>
      <c r="K248" s="197">
        <f>F248+H248+I248+J248+$K$246</f>
        <v>-7.01</v>
      </c>
      <c r="M248" s="304"/>
      <c r="O248" s="80">
        <f t="shared" si="28"/>
        <v>0</v>
      </c>
      <c r="P248" s="115"/>
      <c r="Q248" s="305"/>
      <c r="Y248" s="80">
        <v>246</v>
      </c>
    </row>
    <row r="249" spans="1:25" ht="12.75" customHeight="1" x14ac:dyDescent="0.2">
      <c r="A249" s="111"/>
      <c r="B249" s="246" t="s">
        <v>636</v>
      </c>
      <c r="C249" s="111" t="str">
        <f>HLOOKUP(Stats!$B$5,Professions!$E$2:$DD$57,33,0)</f>
        <v>15</v>
      </c>
      <c r="D249" s="111" t="str">
        <f>IF(Stats!$B$6="","",HLOOKUP(Stats!$B$6,Professions!$E$2:$DD$57,33,0))</f>
        <v>2/6</v>
      </c>
      <c r="E249" s="111"/>
      <c r="F249" s="111">
        <f>VLOOKUP(E249,Professions!$DQ$1:$DX$203,5)</f>
        <v>-30</v>
      </c>
      <c r="G249" s="111" t="s">
        <v>389</v>
      </c>
      <c r="H249" s="111">
        <f>Stats!$I$14</f>
        <v>7</v>
      </c>
      <c r="I249" s="111"/>
      <c r="J249" s="111"/>
      <c r="K249" s="197">
        <f>F249+H249+I249+J249+$K$246</f>
        <v>-7.01</v>
      </c>
      <c r="M249" s="304"/>
      <c r="O249" s="80">
        <f t="shared" si="28"/>
        <v>0</v>
      </c>
      <c r="P249" s="115"/>
      <c r="Q249" s="305"/>
      <c r="Y249" s="80">
        <v>247</v>
      </c>
    </row>
    <row r="250" spans="1:25" ht="12.75" customHeight="1" x14ac:dyDescent="0.2">
      <c r="A250" s="148"/>
      <c r="B250" s="309" t="s">
        <v>637</v>
      </c>
      <c r="C250" s="111" t="str">
        <f>HLOOKUP(Stats!$B$5,Professions!$E$2:$DD$57,33,0)</f>
        <v>15</v>
      </c>
      <c r="D250" s="111" t="str">
        <f>IF(Stats!$B$6="","",HLOOKUP(Stats!$B$6,Professions!$E$2:$DD$57,33,0))</f>
        <v>2/6</v>
      </c>
      <c r="E250" s="111"/>
      <c r="F250" s="111">
        <f>VLOOKUP(E250,Professions!$DQ$1:$DX$203,5)</f>
        <v>-30</v>
      </c>
      <c r="G250" s="111" t="s">
        <v>220</v>
      </c>
      <c r="H250" s="111">
        <f>Stats!$I$15</f>
        <v>7</v>
      </c>
      <c r="I250" s="111"/>
      <c r="J250" s="111"/>
      <c r="K250" s="197">
        <f>F250+H250+I250+J250+$K$246</f>
        <v>-7.01</v>
      </c>
      <c r="M250" s="304"/>
      <c r="O250" s="80">
        <f t="shared" si="28"/>
        <v>0</v>
      </c>
      <c r="P250" s="115"/>
      <c r="Q250" s="305"/>
      <c r="Y250" s="80">
        <v>248</v>
      </c>
    </row>
    <row r="251" spans="1:25" ht="12.75" customHeight="1" x14ac:dyDescent="0.2">
      <c r="A251" s="244" t="s">
        <v>638</v>
      </c>
      <c r="B251" s="204"/>
      <c r="C251" s="226"/>
      <c r="D251" s="226"/>
      <c r="E251" s="302"/>
      <c r="F251" s="302"/>
      <c r="G251" s="302" t="s">
        <v>246</v>
      </c>
      <c r="H251" s="302"/>
      <c r="I251" s="303">
        <f>IF(Stats!$M$4="",HLOOKUP(Stats!$B$5,Professions!$F$59:$DD$114,Professions!$DF$35,0),((HLOOKUP(Stats!$B$5,Professions!$F$59:$DD$114,Professions!$DF$35,0)+HLOOKUP(Stats!$B$6,Professions!$F$59:$DD$114,Professions!$DF$35,0))/2-0.01))</f>
        <v>-0.01</v>
      </c>
      <c r="J251" s="302"/>
      <c r="K251" s="303">
        <f>F251+H251+I251+J251</f>
        <v>-0.01</v>
      </c>
      <c r="M251" s="304"/>
      <c r="O251" s="80">
        <f t="shared" si="28"/>
        <v>0</v>
      </c>
      <c r="P251" s="115"/>
      <c r="Q251" s="305"/>
      <c r="Y251" s="80">
        <v>249</v>
      </c>
    </row>
    <row r="252" spans="1:25" ht="12.75" customHeight="1" x14ac:dyDescent="0.2">
      <c r="A252" s="179"/>
      <c r="B252" s="257" t="s">
        <v>639</v>
      </c>
      <c r="C252" s="111" t="str">
        <f>HLOOKUP(Stats!$B$5,Professions!$E$2:$DD$57,34,0)</f>
        <v>40</v>
      </c>
      <c r="D252" s="111" t="str">
        <f>IF(Stats!$B$6="","",HLOOKUP(Stats!$B$6,Professions!$E$2:$DD$57,34,0))</f>
        <v>35</v>
      </c>
      <c r="E252" s="111"/>
      <c r="F252" s="111">
        <f>VLOOKUP(E252,Professions!$DQ$1:$DX$203,5)</f>
        <v>-30</v>
      </c>
      <c r="G252" s="111"/>
      <c r="H252" s="111"/>
      <c r="I252" s="111"/>
      <c r="J252" s="111"/>
      <c r="K252" s="197">
        <f>F252+H252+I252+J252+$K$251</f>
        <v>-30.01</v>
      </c>
      <c r="M252" s="304"/>
      <c r="O252" s="80">
        <f t="shared" si="28"/>
        <v>0</v>
      </c>
      <c r="P252" s="115"/>
      <c r="Q252" s="305"/>
      <c r="Y252" s="80">
        <v>250</v>
      </c>
    </row>
    <row r="253" spans="1:25" ht="12.75" customHeight="1" x14ac:dyDescent="0.2">
      <c r="A253" s="148"/>
      <c r="B253" s="309" t="s">
        <v>640</v>
      </c>
      <c r="C253" s="111" t="str">
        <f>HLOOKUP(Stats!$B$5,Professions!$E$2:$DD$57,34,0)</f>
        <v>40</v>
      </c>
      <c r="D253" s="111" t="str">
        <f>IF(Stats!$B$6="","",HLOOKUP(Stats!$B$6,Professions!$E$2:$DD$57,34,0))</f>
        <v>35</v>
      </c>
      <c r="E253" s="111"/>
      <c r="F253" s="111">
        <f>VLOOKUP(E253,Professions!$DQ$1:$DX$203,5)</f>
        <v>-30</v>
      </c>
      <c r="G253" s="111"/>
      <c r="H253" s="111"/>
      <c r="I253" s="111"/>
      <c r="J253" s="111"/>
      <c r="K253" s="197">
        <f>F253+H253+I253+J253+$K$251</f>
        <v>-30.01</v>
      </c>
      <c r="M253" s="304"/>
      <c r="O253" s="80">
        <f t="shared" si="28"/>
        <v>0</v>
      </c>
      <c r="P253" s="115"/>
      <c r="Q253" s="305"/>
      <c r="Y253" s="80">
        <v>251</v>
      </c>
    </row>
    <row r="254" spans="1:25" ht="12.75" customHeight="1" x14ac:dyDescent="0.2">
      <c r="A254" s="244" t="s">
        <v>641</v>
      </c>
      <c r="B254" s="204"/>
      <c r="C254" s="226" t="str">
        <f>HLOOKUP(Stats!$B$5,Professions!$E$2:$DD$57,43,0)</f>
        <v>15</v>
      </c>
      <c r="D254" s="226" t="str">
        <f>IF(Stats!$B$6="","",HLOOKUP(Stats!$B$6,Professions!$E$2:$DD$57,5,0))</f>
        <v>2/5</v>
      </c>
      <c r="E254" s="302"/>
      <c r="F254" s="302">
        <f>VLOOKUP(E254,Professions!$DQ$1:$DX$203,2)</f>
        <v>-15</v>
      </c>
      <c r="G254" s="302" t="s">
        <v>525</v>
      </c>
      <c r="H254" s="302">
        <f>Stats!I14+Stats!I15</f>
        <v>14</v>
      </c>
      <c r="I254" s="303">
        <f>IF(Stats!$M$4="",HLOOKUP(Stats!$B$5,Professions!$F$59:$DD$114,Professions!$DF$44,0),((HLOOKUP(Stats!$B$5,Professions!$F$59:$DD$114,Professions!$DF$44,0)+HLOOKUP(Stats!$B$6,Professions!$F$59:$DD$114,Professions!$DF$44,0))/2-0.01))</f>
        <v>-0.01</v>
      </c>
      <c r="J254" s="302"/>
      <c r="K254" s="303">
        <f>F254+H254+I254+J254</f>
        <v>-1.01</v>
      </c>
      <c r="M254" s="304"/>
      <c r="O254" s="80">
        <f t="shared" si="28"/>
        <v>0</v>
      </c>
      <c r="P254" s="115"/>
      <c r="Q254" s="305">
        <f>HLOOKUP(Stats!$B$2,Races!$AK$4:$EH$50,Races!EH31,0)</f>
        <v>0</v>
      </c>
      <c r="Y254" s="80">
        <v>252</v>
      </c>
    </row>
    <row r="255" spans="1:25" ht="12.75" customHeight="1" x14ac:dyDescent="0.2">
      <c r="A255" s="179"/>
      <c r="B255" s="257" t="s">
        <v>642</v>
      </c>
      <c r="C255" s="111" t="str">
        <f>HLOOKUP(Stats!$B$5,Professions!$E$2:$DD$57,43,0)</f>
        <v>15</v>
      </c>
      <c r="D255" s="111" t="str">
        <f>IF(Stats!$B$6="","",HLOOKUP(Stats!$B$6,Professions!$E$2:$DD$57,43,0))</f>
        <v>6/10</v>
      </c>
      <c r="E255" s="111"/>
      <c r="F255" s="111">
        <f>VLOOKUP(E255,Professions!$DQ$1:$DX$203,3)</f>
        <v>-15</v>
      </c>
      <c r="G255" s="111" t="s">
        <v>445</v>
      </c>
      <c r="H255" s="111">
        <f>Stats!$I$22</f>
        <v>10</v>
      </c>
      <c r="I255" s="111"/>
      <c r="J255" s="111"/>
      <c r="K255" s="197">
        <f>F255+H255+I255+J255+$K$254</f>
        <v>-6.01</v>
      </c>
      <c r="M255" s="304"/>
      <c r="O255" s="80">
        <f t="shared" si="28"/>
        <v>0</v>
      </c>
      <c r="P255" s="115"/>
      <c r="Q255" s="305">
        <f>HLOOKUP(Stats!$B$2,Races!$AK$4:$EH$50,Races!EH32,0)</f>
        <v>0</v>
      </c>
      <c r="Y255" s="80">
        <v>253</v>
      </c>
    </row>
    <row r="256" spans="1:25" ht="12.75" customHeight="1" x14ac:dyDescent="0.2">
      <c r="A256" s="148"/>
      <c r="B256" s="309" t="s">
        <v>643</v>
      </c>
      <c r="C256" s="111" t="str">
        <f>HLOOKUP(Stats!$B$5,Professions!$E$2:$DD$57,43,0)</f>
        <v>15</v>
      </c>
      <c r="D256" s="111" t="str">
        <f>IF(Stats!$B$6="","",HLOOKUP(Stats!$B$6,Professions!$E$2:$DD$57,43,0))</f>
        <v>6/10</v>
      </c>
      <c r="E256" s="111"/>
      <c r="F256" s="111">
        <f>VLOOKUP(E256,Professions!$DQ$1:$DX$203,3)</f>
        <v>-15</v>
      </c>
      <c r="G256" s="111" t="s">
        <v>445</v>
      </c>
      <c r="H256" s="111">
        <f>Stats!$I$22</f>
        <v>10</v>
      </c>
      <c r="I256" s="111"/>
      <c r="J256" s="111"/>
      <c r="K256" s="197">
        <f>F256+H256+I256+J256+$K$254</f>
        <v>-6.01</v>
      </c>
      <c r="M256" s="304"/>
      <c r="O256" s="80">
        <f t="shared" si="28"/>
        <v>0</v>
      </c>
      <c r="P256" s="115"/>
      <c r="Q256" s="305"/>
      <c r="Y256" s="80">
        <v>254</v>
      </c>
    </row>
    <row r="257" spans="1:25" ht="12.75" customHeight="1" x14ac:dyDescent="0.2">
      <c r="A257" s="244" t="s">
        <v>644</v>
      </c>
      <c r="B257" s="204"/>
      <c r="C257" s="226" t="str">
        <f>HLOOKUP(Stats!$B$5,Professions!$E$2:$DD$57,44,0)</f>
        <v>7</v>
      </c>
      <c r="D257" s="226" t="str">
        <f>IF(Stats!$B$6="","",HLOOKUP(Stats!$B$6,Professions!$E$2:$DD$57,44,0))</f>
        <v>3/8</v>
      </c>
      <c r="E257" s="302"/>
      <c r="F257" s="302">
        <f>VLOOKUP(E257,Professions!$DQ$1:$DX$203,2)</f>
        <v>-15</v>
      </c>
      <c r="G257" s="302" t="s">
        <v>645</v>
      </c>
      <c r="H257" s="302">
        <f>Stats!I22+Stats!I14</f>
        <v>17</v>
      </c>
      <c r="I257" s="303">
        <f>IF(Stats!$M$4="",HLOOKUP(Stats!$B$5,Professions!$F$59:$DD$114,Professions!$DF$45,0),((HLOOKUP(Stats!$B$5,Professions!$F$59:$DD$114,Professions!$DF$45,0)+HLOOKUP(Stats!$B$6,Professions!$F$59:$DD$114,Professions!$DF$45,0))/2-0.01))</f>
        <v>-0.01</v>
      </c>
      <c r="J257" s="302"/>
      <c r="K257" s="303">
        <f>F257+H257+I257+J257</f>
        <v>1.99</v>
      </c>
      <c r="M257" s="304"/>
      <c r="O257" s="80">
        <f t="shared" si="28"/>
        <v>0</v>
      </c>
      <c r="P257" s="115"/>
      <c r="Q257" s="305"/>
      <c r="Y257" s="80">
        <v>255</v>
      </c>
    </row>
    <row r="258" spans="1:25" ht="12.75" customHeight="1" x14ac:dyDescent="0.2">
      <c r="A258" s="179"/>
      <c r="B258" s="257" t="s">
        <v>646</v>
      </c>
      <c r="C258" s="111" t="str">
        <f>HLOOKUP(Stats!$B$5,Professions!$E$2:$DD$57,44,0)</f>
        <v>7</v>
      </c>
      <c r="D258" s="111" t="str">
        <f>IF(Stats!$B$6="","",HLOOKUP(Stats!$B$6,Professions!$E$2:$DD$57,44,0))</f>
        <v>3/8</v>
      </c>
      <c r="E258" s="111"/>
      <c r="F258" s="111">
        <f>VLOOKUP(E258,Professions!$DQ$1:$DX$203,3)</f>
        <v>-15</v>
      </c>
      <c r="G258" s="111" t="s">
        <v>462</v>
      </c>
      <c r="H258" s="111">
        <f>Stats!$I$21</f>
        <v>5</v>
      </c>
      <c r="I258" s="111"/>
      <c r="J258" s="111"/>
      <c r="K258" s="197">
        <f t="shared" ref="K258:K266" si="29">F258+H258+I258+J258+$K$257</f>
        <v>-8.01</v>
      </c>
      <c r="M258" s="304"/>
      <c r="O258" s="80">
        <f t="shared" si="28"/>
        <v>0</v>
      </c>
      <c r="P258" s="115"/>
      <c r="Q258" s="305"/>
      <c r="Y258" s="80">
        <v>256</v>
      </c>
    </row>
    <row r="259" spans="1:25" ht="12.75" customHeight="1" x14ac:dyDescent="0.2">
      <c r="A259" s="111"/>
      <c r="B259" s="246" t="s">
        <v>647</v>
      </c>
      <c r="C259" s="111" t="str">
        <f>HLOOKUP(Stats!$B$5,Professions!$E$2:$DD$57,44,0)</f>
        <v>7</v>
      </c>
      <c r="D259" s="111" t="str">
        <f>IF(Stats!$B$6="","",HLOOKUP(Stats!$B$6,Professions!$E$2:$DD$57,44,0))</f>
        <v>3/8</v>
      </c>
      <c r="E259" s="111"/>
      <c r="F259" s="111">
        <f>VLOOKUP(E259,Professions!$DQ$1:$DX$203,3)</f>
        <v>-15</v>
      </c>
      <c r="G259" s="111" t="s">
        <v>220</v>
      </c>
      <c r="H259" s="111">
        <f>Stats!$I$15</f>
        <v>7</v>
      </c>
      <c r="I259" s="111"/>
      <c r="J259" s="111"/>
      <c r="K259" s="197">
        <f t="shared" si="29"/>
        <v>-6.01</v>
      </c>
      <c r="M259" s="304"/>
      <c r="O259" s="80">
        <f t="shared" si="28"/>
        <v>0</v>
      </c>
      <c r="P259" s="115"/>
      <c r="Q259" s="305"/>
      <c r="Y259" s="80">
        <v>257</v>
      </c>
    </row>
    <row r="260" spans="1:25" ht="12.75" customHeight="1" x14ac:dyDescent="0.2">
      <c r="A260" s="111"/>
      <c r="B260" s="246" t="s">
        <v>648</v>
      </c>
      <c r="C260" s="111" t="str">
        <f>HLOOKUP(Stats!$B$5,Professions!$E$2:$DD$57,44,0)</f>
        <v>7</v>
      </c>
      <c r="D260" s="111" t="str">
        <f>IF(Stats!$B$6="","",HLOOKUP(Stats!$B$6,Professions!$E$2:$DD$57,44,0))</f>
        <v>3/8</v>
      </c>
      <c r="E260" s="111"/>
      <c r="F260" s="111">
        <f>VLOOKUP(E260,Professions!$DQ$1:$DX$203,3)</f>
        <v>-15</v>
      </c>
      <c r="G260" s="111" t="s">
        <v>409</v>
      </c>
      <c r="H260" s="111">
        <f>Stats!$I$20</f>
        <v>2</v>
      </c>
      <c r="I260" s="111"/>
      <c r="J260" s="111"/>
      <c r="K260" s="197">
        <f t="shared" si="29"/>
        <v>-11.01</v>
      </c>
      <c r="M260" s="304"/>
      <c r="O260" s="80">
        <f t="shared" si="28"/>
        <v>0</v>
      </c>
      <c r="P260" s="115"/>
      <c r="Q260" s="305"/>
      <c r="Y260" s="80">
        <v>258</v>
      </c>
    </row>
    <row r="261" spans="1:25" ht="12.75" customHeight="1" x14ac:dyDescent="0.2">
      <c r="A261" s="111"/>
      <c r="B261" s="246" t="s">
        <v>649</v>
      </c>
      <c r="C261" s="111" t="str">
        <f>HLOOKUP(Stats!$B$5,Professions!$E$2:$DD$57,44,0)</f>
        <v>7</v>
      </c>
      <c r="D261" s="111" t="str">
        <f>IF(Stats!$B$6="","",HLOOKUP(Stats!$B$6,Professions!$E$2:$DD$57,44,0))</f>
        <v>3/8</v>
      </c>
      <c r="E261" s="111"/>
      <c r="F261" s="111">
        <f>VLOOKUP(E261,Professions!$DQ$1:$DX$203,3)</f>
        <v>-15</v>
      </c>
      <c r="G261" s="111" t="s">
        <v>413</v>
      </c>
      <c r="H261" s="111">
        <f>Stats!$I$17</f>
        <v>0</v>
      </c>
      <c r="I261" s="111"/>
      <c r="J261" s="111"/>
      <c r="K261" s="197">
        <f t="shared" si="29"/>
        <v>-13.01</v>
      </c>
      <c r="M261" s="304"/>
      <c r="O261" s="80">
        <f t="shared" si="28"/>
        <v>0</v>
      </c>
      <c r="P261" s="115"/>
      <c r="Q261" s="305"/>
      <c r="Y261" s="80">
        <v>259</v>
      </c>
    </row>
    <row r="262" spans="1:25" ht="12.75" customHeight="1" x14ac:dyDescent="0.2">
      <c r="A262" s="111"/>
      <c r="B262" s="246" t="s">
        <v>650</v>
      </c>
      <c r="C262" s="111" t="str">
        <f>HLOOKUP(Stats!$B$5,Professions!$E$2:$DD$57,44,0)</f>
        <v>7</v>
      </c>
      <c r="D262" s="111" t="str">
        <f>IF(Stats!$B$6="","",HLOOKUP(Stats!$B$6,Professions!$E$2:$DD$57,44,0))</f>
        <v>3/8</v>
      </c>
      <c r="E262" s="111"/>
      <c r="F262" s="111">
        <f>VLOOKUP(E262,Professions!$DQ$1:$DX$203,3)</f>
        <v>-15</v>
      </c>
      <c r="G262" s="111" t="s">
        <v>413</v>
      </c>
      <c r="H262" s="111">
        <f>Stats!$I$17</f>
        <v>0</v>
      </c>
      <c r="I262" s="111"/>
      <c r="J262" s="111"/>
      <c r="K262" s="197">
        <f t="shared" si="29"/>
        <v>-13.01</v>
      </c>
      <c r="M262" s="304"/>
      <c r="O262" s="80">
        <f t="shared" si="28"/>
        <v>0</v>
      </c>
      <c r="P262" s="115"/>
      <c r="Q262" s="305"/>
      <c r="Y262" s="80">
        <v>260</v>
      </c>
    </row>
    <row r="263" spans="1:25" ht="12.75" customHeight="1" x14ac:dyDescent="0.2">
      <c r="A263" s="111"/>
      <c r="B263" s="246" t="s">
        <v>651</v>
      </c>
      <c r="C263" s="111" t="str">
        <f>HLOOKUP(Stats!$B$5,Professions!$E$2:$DD$57,44,0)</f>
        <v>7</v>
      </c>
      <c r="D263" s="111" t="str">
        <f>IF(Stats!$B$6="","",HLOOKUP(Stats!$B$6,Professions!$E$2:$DD$57,44,0))</f>
        <v>3/8</v>
      </c>
      <c r="E263" s="111"/>
      <c r="F263" s="111">
        <f>VLOOKUP(E263,Professions!$DQ$1:$DX$203,3)</f>
        <v>-15</v>
      </c>
      <c r="G263" s="111" t="s">
        <v>413</v>
      </c>
      <c r="H263" s="111">
        <f>Stats!$I$17</f>
        <v>0</v>
      </c>
      <c r="I263" s="111"/>
      <c r="J263" s="111"/>
      <c r="K263" s="197">
        <f t="shared" si="29"/>
        <v>-13.01</v>
      </c>
      <c r="M263" s="304"/>
      <c r="O263" s="80">
        <f t="shared" si="28"/>
        <v>0</v>
      </c>
      <c r="P263" s="115"/>
      <c r="Q263" s="305"/>
      <c r="Y263" s="80">
        <v>261</v>
      </c>
    </row>
    <row r="264" spans="1:25" ht="12.75" customHeight="1" x14ac:dyDescent="0.2">
      <c r="A264" s="111"/>
      <c r="B264" s="246" t="s">
        <v>652</v>
      </c>
      <c r="C264" s="111" t="str">
        <f>HLOOKUP(Stats!$B$5,Professions!$E$2:$DD$57,44,0)</f>
        <v>7</v>
      </c>
      <c r="D264" s="111" t="str">
        <f>IF(Stats!$B$6="","",HLOOKUP(Stats!$B$6,Professions!$E$2:$DD$57,44,0))</f>
        <v>3/8</v>
      </c>
      <c r="E264" s="111"/>
      <c r="F264" s="111">
        <f>VLOOKUP(E264,Professions!$DQ$1:$DX$203,3)</f>
        <v>-15</v>
      </c>
      <c r="G264" s="111" t="s">
        <v>413</v>
      </c>
      <c r="H264" s="111">
        <f>Stats!$I$17</f>
        <v>0</v>
      </c>
      <c r="I264" s="111"/>
      <c r="J264" s="111"/>
      <c r="K264" s="197">
        <f t="shared" si="29"/>
        <v>-13.01</v>
      </c>
      <c r="M264" s="304"/>
      <c r="O264" s="80">
        <f t="shared" si="28"/>
        <v>0</v>
      </c>
      <c r="P264" s="115"/>
      <c r="Q264" s="305"/>
      <c r="Y264" s="80">
        <v>262</v>
      </c>
    </row>
    <row r="265" spans="1:25" ht="12.75" customHeight="1" x14ac:dyDescent="0.2">
      <c r="A265" s="111"/>
      <c r="B265" s="246" t="s">
        <v>653</v>
      </c>
      <c r="C265" s="111" t="str">
        <f>HLOOKUP(Stats!$B$5,Professions!$E$2:$DD$57,44,0)</f>
        <v>7</v>
      </c>
      <c r="D265" s="111" t="str">
        <f>IF(Stats!$B$6="","",HLOOKUP(Stats!$B$6,Professions!$E$2:$DD$57,44,0))</f>
        <v>3/8</v>
      </c>
      <c r="E265" s="111"/>
      <c r="F265" s="111">
        <f>VLOOKUP(E265,Professions!$DQ$1:$DX$203,3)</f>
        <v>-15</v>
      </c>
      <c r="G265" s="111" t="s">
        <v>220</v>
      </c>
      <c r="H265" s="111">
        <f>Stats!$I$15</f>
        <v>7</v>
      </c>
      <c r="I265" s="111"/>
      <c r="J265" s="111"/>
      <c r="K265" s="197">
        <f t="shared" si="29"/>
        <v>-6.01</v>
      </c>
      <c r="M265" s="304"/>
      <c r="O265" s="80">
        <f t="shared" si="28"/>
        <v>0</v>
      </c>
      <c r="P265" s="115"/>
      <c r="Q265" s="305"/>
      <c r="Y265" s="80">
        <v>263</v>
      </c>
    </row>
    <row r="266" spans="1:25" ht="12.75" customHeight="1" x14ac:dyDescent="0.2">
      <c r="A266" s="148"/>
      <c r="B266" s="309" t="s">
        <v>654</v>
      </c>
      <c r="C266" s="111" t="str">
        <f>HLOOKUP(Stats!$B$5,Professions!$E$2:$DD$57,44,0)</f>
        <v>7</v>
      </c>
      <c r="D266" s="111" t="str">
        <f>IF(Stats!$B$6="","",HLOOKUP(Stats!$B$6,Professions!$E$2:$DD$57,44,0))</f>
        <v>3/8</v>
      </c>
      <c r="E266" s="111"/>
      <c r="F266" s="111">
        <f>VLOOKUP(E266,Professions!$DQ$1:$DX$203,3)</f>
        <v>-15</v>
      </c>
      <c r="G266" s="111" t="s">
        <v>220</v>
      </c>
      <c r="H266" s="111">
        <f>Stats!$I$15</f>
        <v>7</v>
      </c>
      <c r="I266" s="111"/>
      <c r="J266" s="111"/>
      <c r="K266" s="197">
        <f t="shared" si="29"/>
        <v>-6.01</v>
      </c>
      <c r="M266" s="304"/>
      <c r="O266" s="80">
        <f t="shared" si="28"/>
        <v>0</v>
      </c>
      <c r="P266" s="115"/>
      <c r="Q266" s="305"/>
      <c r="Y266" s="80">
        <v>264</v>
      </c>
    </row>
    <row r="267" spans="1:25" ht="12.75" customHeight="1" x14ac:dyDescent="0.2">
      <c r="A267" s="244" t="s">
        <v>655</v>
      </c>
      <c r="B267" s="204"/>
      <c r="C267" s="226" t="str">
        <f>HLOOKUP(Stats!$B$5,Professions!$E$2:$DD$57,45,0)</f>
        <v>6</v>
      </c>
      <c r="D267" s="226" t="str">
        <f>IF(Stats!$B$6="","",HLOOKUP(Stats!$B$6,Professions!$E$2:$DD$57,45,0))</f>
        <v>2/5</v>
      </c>
      <c r="E267" s="302"/>
      <c r="F267" s="302">
        <f>VLOOKUP(E267,Professions!$DQ$1:$DX$203,2)</f>
        <v>-15</v>
      </c>
      <c r="G267" s="302" t="s">
        <v>525</v>
      </c>
      <c r="H267" s="302">
        <f>Stats!I14+Stats!I15</f>
        <v>14</v>
      </c>
      <c r="I267" s="303">
        <f>IF(Stats!$M$4="",HLOOKUP(Stats!$B$5,Professions!$F$59:$DD$114,Professions!$DF$46,0),((HLOOKUP(Stats!$B$5,Professions!$F$59:$DD$114,Professions!$DF$46,0)+HLOOKUP(Stats!$B$6,Professions!$F$59:$DD$114,Professions!$DF$46,0))/2-0.01))</f>
        <v>-0.01</v>
      </c>
      <c r="J267" s="302"/>
      <c r="K267" s="303">
        <f>F267+H267+I267+J267</f>
        <v>-1.01</v>
      </c>
      <c r="M267" s="304"/>
      <c r="O267" s="80">
        <f t="shared" si="28"/>
        <v>0</v>
      </c>
      <c r="P267" s="115"/>
      <c r="Q267" s="305">
        <f>HLOOKUP(Stats!$B$2,Races!$AK$4:$EH$50,Races!EH33,0)</f>
        <v>1</v>
      </c>
      <c r="Y267" s="80">
        <v>265</v>
      </c>
    </row>
    <row r="268" spans="1:25" ht="12.75" customHeight="1" x14ac:dyDescent="0.2">
      <c r="A268" s="179"/>
      <c r="B268" s="257" t="s">
        <v>656</v>
      </c>
      <c r="C268" s="111" t="str">
        <f>HLOOKUP(Stats!$B$5,Professions!$E$2:$DD$57,45,0)</f>
        <v>6</v>
      </c>
      <c r="D268" s="111" t="str">
        <f>IF(Stats!$B$6="","",HLOOKUP(Stats!$B$6,Professions!$E$2:$DD$57,45,0))</f>
        <v>2/5</v>
      </c>
      <c r="E268" s="111"/>
      <c r="F268" s="111">
        <f>VLOOKUP(E268,Professions!$DQ$1:$DX$203,3)</f>
        <v>-15</v>
      </c>
      <c r="G268" s="111" t="s">
        <v>445</v>
      </c>
      <c r="H268" s="111">
        <f>Stats!$I$22</f>
        <v>10</v>
      </c>
      <c r="I268" s="111"/>
      <c r="J268" s="111"/>
      <c r="K268" s="197">
        <f>F268+H268+I268+J268+$K$267</f>
        <v>-6.01</v>
      </c>
      <c r="M268" s="304"/>
      <c r="O268" s="80">
        <f t="shared" si="28"/>
        <v>0</v>
      </c>
      <c r="P268" s="115"/>
      <c r="Q268" s="305">
        <f>HLOOKUP(Stats!$B$2,Races!$AK$4:$EH$50,Races!EH34,0)</f>
        <v>1</v>
      </c>
      <c r="Y268" s="80">
        <v>266</v>
      </c>
    </row>
    <row r="269" spans="1:25" ht="12.75" customHeight="1" x14ac:dyDescent="0.2">
      <c r="A269" s="111"/>
      <c r="B269" s="246" t="s">
        <v>657</v>
      </c>
      <c r="C269" s="111" t="str">
        <f>HLOOKUP(Stats!$B$5,Professions!$E$2:$DD$57,45,0)</f>
        <v>6</v>
      </c>
      <c r="D269" s="111" t="str">
        <f>IF(Stats!$B$6="","",HLOOKUP(Stats!$B$6,Professions!$E$2:$DD$57,45,0))</f>
        <v>2/5</v>
      </c>
      <c r="E269" s="111"/>
      <c r="F269" s="111">
        <f>VLOOKUP(E269,Professions!$DQ$1:$DX$203,3)</f>
        <v>-15</v>
      </c>
      <c r="G269" s="111" t="s">
        <v>409</v>
      </c>
      <c r="H269" s="111">
        <f>Stats!$I$20</f>
        <v>2</v>
      </c>
      <c r="I269" s="111"/>
      <c r="J269" s="111"/>
      <c r="K269" s="197">
        <f>F269+H269+I269+J269+$K$267</f>
        <v>-14.01</v>
      </c>
      <c r="M269" s="304"/>
      <c r="O269" s="80">
        <f t="shared" si="28"/>
        <v>0</v>
      </c>
      <c r="P269" s="115"/>
      <c r="Q269" s="305"/>
      <c r="Y269" s="80">
        <v>267</v>
      </c>
    </row>
    <row r="270" spans="1:25" ht="12.75" customHeight="1" x14ac:dyDescent="0.2">
      <c r="A270" s="148"/>
      <c r="B270" s="309" t="s">
        <v>658</v>
      </c>
      <c r="C270" s="111" t="str">
        <f>HLOOKUP(Stats!$B$5,Professions!$E$2:$DD$57,45,0)</f>
        <v>6</v>
      </c>
      <c r="D270" s="111" t="str">
        <f>IF(Stats!$B$6="","",HLOOKUP(Stats!$B$6,Professions!$E$2:$DD$57,45,0))</f>
        <v>2/5</v>
      </c>
      <c r="E270" s="111"/>
      <c r="F270" s="111">
        <f>VLOOKUP(E270,Professions!$DQ$1:$DX$203,3)</f>
        <v>-15</v>
      </c>
      <c r="G270" s="111" t="s">
        <v>220</v>
      </c>
      <c r="H270" s="111">
        <f>Stats!$I$15</f>
        <v>7</v>
      </c>
      <c r="I270" s="111"/>
      <c r="J270" s="111"/>
      <c r="K270" s="197">
        <f>F270+H270+I270+J270+$K$267</f>
        <v>-9.01</v>
      </c>
      <c r="M270" s="304"/>
      <c r="O270" s="80">
        <f t="shared" si="28"/>
        <v>0</v>
      </c>
      <c r="P270" s="115"/>
      <c r="Q270" s="305">
        <f>HLOOKUP(Stats!$B$2,Races!$AK$4:$EH$50,Races!EH35,0)</f>
        <v>1</v>
      </c>
      <c r="Y270" s="80">
        <v>268</v>
      </c>
    </row>
    <row r="271" spans="1:25" ht="12.75" customHeight="1" x14ac:dyDescent="0.2">
      <c r="A271" s="269"/>
      <c r="B271" s="312" t="s">
        <v>659</v>
      </c>
      <c r="C271" s="250" t="str">
        <f>HLOOKUP(Stats!$B$5,Professions!$E$2:$DD$57,45,0)</f>
        <v>6</v>
      </c>
      <c r="D271" s="111" t="str">
        <f>IF(Stats!$B$6="","",HLOOKUP(Stats!$B$6,Professions!$E$2:$DD$57,45,0))</f>
        <v>2/5</v>
      </c>
      <c r="E271" s="111"/>
      <c r="F271" s="111">
        <f>VLOOKUP(E271,Professions!$DQ$1:$DX$203,3)</f>
        <v>-15</v>
      </c>
      <c r="G271" s="111" t="s">
        <v>409</v>
      </c>
      <c r="H271" s="111">
        <f>Stats!$I$20</f>
        <v>2</v>
      </c>
      <c r="I271" s="111"/>
      <c r="J271" s="111"/>
      <c r="K271" s="197">
        <f>F271+H271+I271+J271+$K$267</f>
        <v>-14.01</v>
      </c>
      <c r="M271" s="304"/>
      <c r="O271" s="80">
        <f t="shared" ref="O271:O280" si="30">E271+M271</f>
        <v>0</v>
      </c>
      <c r="P271" s="115"/>
      <c r="Q271" s="305"/>
      <c r="Y271" s="80">
        <v>269</v>
      </c>
    </row>
    <row r="272" spans="1:25" ht="12.75" customHeight="1" x14ac:dyDescent="0.2">
      <c r="A272" s="327" t="s">
        <v>660</v>
      </c>
      <c r="B272" s="335"/>
      <c r="C272" s="226" t="str">
        <f>HLOOKUP(Stats!$B$5,Professions!$E$2:$DD$57,46,0)</f>
        <v>3/7</v>
      </c>
      <c r="D272" s="226" t="str">
        <f>IF(Stats!$B$6="","",HLOOKUP(Stats!$B$6,Professions!$E$2:$DD$57,46,0))</f>
        <v>3/7</v>
      </c>
      <c r="E272" s="302"/>
      <c r="F272" s="302">
        <f>VLOOKUP(E272,Professions!$DQ$1:$DX$203,2)</f>
        <v>-15</v>
      </c>
      <c r="G272" s="302" t="s">
        <v>499</v>
      </c>
      <c r="H272" s="302">
        <f>Stats!$I$17+Stats!$I$16</f>
        <v>0</v>
      </c>
      <c r="I272" s="303">
        <f>IF(Stats!$M$4="",HLOOKUP(Stats!$B$5,Professions!$F$59:$DD$114,Professions!$DF$47,0),((HLOOKUP(Stats!$B$5,Professions!$F$59:$DD$114,Professions!$DF$47,0)+HLOOKUP(Stats!$B$6,Professions!$F$59:$DD$114,Professions!$DF$47,0))/2-0.01))</f>
        <v>-0.01</v>
      </c>
      <c r="J272" s="302"/>
      <c r="K272" s="303">
        <f>F272+H272+I272+J272</f>
        <v>-15.01</v>
      </c>
      <c r="M272" s="304"/>
      <c r="O272" s="80">
        <f t="shared" si="30"/>
        <v>0</v>
      </c>
      <c r="P272" s="115"/>
      <c r="Q272" s="305">
        <f>HLOOKUP(Stats!$B$2,Races!$AK$4:$EH$50,Races!EH36,0)</f>
        <v>1</v>
      </c>
      <c r="Y272" s="80">
        <v>270</v>
      </c>
    </row>
    <row r="273" spans="1:25" ht="12.75" customHeight="1" x14ac:dyDescent="0.2">
      <c r="A273" s="179"/>
      <c r="B273" s="257" t="s">
        <v>661</v>
      </c>
      <c r="C273" s="111" t="str">
        <f>HLOOKUP(Stats!$B$5,Professions!$E$2:$DD$57,46,0)</f>
        <v>3/7</v>
      </c>
      <c r="D273" s="111" t="str">
        <f>IF(Stats!$B$6="","",HLOOKUP(Stats!$B$6,Professions!$E$2:$DD$57,46,0))</f>
        <v>3/7</v>
      </c>
      <c r="E273" s="111"/>
      <c r="F273" s="111">
        <f>VLOOKUP(E273,Professions!$DQ$1:$DX$203,3)</f>
        <v>-15</v>
      </c>
      <c r="G273" s="111" t="s">
        <v>409</v>
      </c>
      <c r="H273" s="111">
        <f>Stats!$I$20</f>
        <v>2</v>
      </c>
      <c r="I273" s="111"/>
      <c r="J273" s="111"/>
      <c r="K273" s="197">
        <f t="shared" ref="K273:K280" si="31">F273+H273+I273+J273+$K$272</f>
        <v>-28.009999999999998</v>
      </c>
      <c r="M273" s="304"/>
      <c r="O273" s="80">
        <f t="shared" si="30"/>
        <v>0</v>
      </c>
      <c r="P273" s="115"/>
      <c r="Q273" s="305"/>
      <c r="Y273" s="80">
        <v>271</v>
      </c>
    </row>
    <row r="274" spans="1:25" ht="12.75" customHeight="1" x14ac:dyDescent="0.2">
      <c r="A274" s="111"/>
      <c r="B274" s="246" t="s">
        <v>662</v>
      </c>
      <c r="C274" s="111" t="str">
        <f>HLOOKUP(Stats!$B$5,Professions!$E$2:$DD$57,46,0)</f>
        <v>3/7</v>
      </c>
      <c r="D274" s="111" t="str">
        <f>IF(Stats!$B$6="","",HLOOKUP(Stats!$B$6,Professions!$E$2:$DD$57,46,0))</f>
        <v>3/7</v>
      </c>
      <c r="E274" s="111"/>
      <c r="F274" s="111">
        <f>VLOOKUP(E274,Professions!$DQ$1:$DX$203,3)</f>
        <v>-15</v>
      </c>
      <c r="G274" s="111" t="s">
        <v>462</v>
      </c>
      <c r="H274" s="111">
        <f>Stats!$I$21</f>
        <v>5</v>
      </c>
      <c r="I274" s="111"/>
      <c r="J274" s="111"/>
      <c r="K274" s="197">
        <f t="shared" si="31"/>
        <v>-25.009999999999998</v>
      </c>
      <c r="M274" s="304"/>
      <c r="O274" s="80">
        <f t="shared" si="30"/>
        <v>0</v>
      </c>
      <c r="P274" s="115"/>
      <c r="Q274" s="305"/>
      <c r="Y274" s="80">
        <v>272</v>
      </c>
    </row>
    <row r="275" spans="1:25" ht="12.75" customHeight="1" x14ac:dyDescent="0.2">
      <c r="A275" s="111"/>
      <c r="B275" s="246" t="s">
        <v>663</v>
      </c>
      <c r="C275" s="111" t="str">
        <f>HLOOKUP(Stats!$B$5,Professions!$E$2:$DD$57,46,0)</f>
        <v>3/7</v>
      </c>
      <c r="D275" s="111" t="str">
        <f>IF(Stats!$B$6="","",HLOOKUP(Stats!$B$6,Professions!$E$2:$DD$57,46,0))</f>
        <v>3/7</v>
      </c>
      <c r="E275" s="111"/>
      <c r="F275" s="111">
        <f>VLOOKUP(E275,Professions!$DQ$1:$DX$203,3)</f>
        <v>-15</v>
      </c>
      <c r="G275" s="111" t="s">
        <v>409</v>
      </c>
      <c r="H275" s="111">
        <f>Stats!$I$20</f>
        <v>2</v>
      </c>
      <c r="I275" s="111"/>
      <c r="J275" s="111"/>
      <c r="K275" s="197">
        <f t="shared" si="31"/>
        <v>-28.009999999999998</v>
      </c>
      <c r="M275" s="304"/>
      <c r="O275" s="80">
        <f t="shared" si="30"/>
        <v>0</v>
      </c>
      <c r="P275" s="115"/>
      <c r="Q275" s="305"/>
      <c r="Y275" s="80">
        <v>273</v>
      </c>
    </row>
    <row r="276" spans="1:25" ht="12.75" customHeight="1" x14ac:dyDescent="0.2">
      <c r="A276" s="111"/>
      <c r="B276" s="246" t="s">
        <v>664</v>
      </c>
      <c r="C276" s="111" t="str">
        <f>HLOOKUP(Stats!$B$5,Professions!$E$2:$DD$57,46,0)</f>
        <v>3/7</v>
      </c>
      <c r="D276" s="111" t="str">
        <f>IF(Stats!$B$6="","",HLOOKUP(Stats!$B$6,Professions!$E$2:$DD$57,46,0))</f>
        <v>3/7</v>
      </c>
      <c r="E276" s="111"/>
      <c r="F276" s="111">
        <f>VLOOKUP(E276,Professions!$DQ$1:$DX$203,3)</f>
        <v>-15</v>
      </c>
      <c r="G276" s="111" t="s">
        <v>220</v>
      </c>
      <c r="H276" s="111">
        <f>Stats!$I$15</f>
        <v>7</v>
      </c>
      <c r="I276" s="111"/>
      <c r="J276" s="111"/>
      <c r="K276" s="197">
        <f t="shared" si="31"/>
        <v>-23.009999999999998</v>
      </c>
      <c r="M276" s="304"/>
      <c r="O276" s="80">
        <f t="shared" si="30"/>
        <v>0</v>
      </c>
      <c r="P276" s="115"/>
      <c r="Q276" s="305"/>
      <c r="Y276" s="80">
        <v>274</v>
      </c>
    </row>
    <row r="277" spans="1:25" ht="12.75" customHeight="1" x14ac:dyDescent="0.2">
      <c r="A277" s="111"/>
      <c r="B277" s="246" t="s">
        <v>665</v>
      </c>
      <c r="C277" s="111" t="str">
        <f>HLOOKUP(Stats!$B$5,Professions!$E$2:$DD$57,46,0)</f>
        <v>3/7</v>
      </c>
      <c r="D277" s="111" t="str">
        <f>IF(Stats!$B$6="","",HLOOKUP(Stats!$B$6,Professions!$E$2:$DD$57,46,0))</f>
        <v>3/7</v>
      </c>
      <c r="E277" s="111"/>
      <c r="F277" s="111">
        <f>VLOOKUP(E277,Professions!$DQ$1:$DX$203,3)</f>
        <v>-15</v>
      </c>
      <c r="G277" s="111" t="s">
        <v>445</v>
      </c>
      <c r="H277" s="111">
        <f>Stats!$I$22</f>
        <v>10</v>
      </c>
      <c r="I277" s="111"/>
      <c r="J277" s="111"/>
      <c r="K277" s="197">
        <f t="shared" si="31"/>
        <v>-20.009999999999998</v>
      </c>
      <c r="M277" s="304"/>
      <c r="O277" s="80">
        <f t="shared" si="30"/>
        <v>0</v>
      </c>
      <c r="P277" s="115"/>
      <c r="Q277" s="305"/>
      <c r="Y277" s="80">
        <v>275</v>
      </c>
    </row>
    <row r="278" spans="1:25" ht="12.75" customHeight="1" x14ac:dyDescent="0.2">
      <c r="A278" s="111"/>
      <c r="B278" s="246" t="s">
        <v>666</v>
      </c>
      <c r="C278" s="111" t="str">
        <f>HLOOKUP(Stats!$B$5,Professions!$E$2:$DD$57,46,0)</f>
        <v>3/7</v>
      </c>
      <c r="D278" s="111" t="str">
        <f>IF(Stats!$B$6="","",HLOOKUP(Stats!$B$6,Professions!$E$2:$DD$57,46,0))</f>
        <v>3/7</v>
      </c>
      <c r="E278" s="111"/>
      <c r="F278" s="111">
        <f>VLOOKUP(E278,Professions!$DQ$1:$DX$203,3)</f>
        <v>-15</v>
      </c>
      <c r="G278" s="111" t="s">
        <v>426</v>
      </c>
      <c r="H278" s="111">
        <f>Stats!$I$13</f>
        <v>2</v>
      </c>
      <c r="I278" s="111"/>
      <c r="J278" s="111"/>
      <c r="K278" s="197">
        <f t="shared" si="31"/>
        <v>-28.009999999999998</v>
      </c>
      <c r="M278" s="304"/>
      <c r="O278" s="80">
        <f t="shared" si="30"/>
        <v>0</v>
      </c>
      <c r="P278" s="115"/>
      <c r="Q278" s="305"/>
      <c r="Y278" s="80">
        <v>276</v>
      </c>
    </row>
    <row r="279" spans="1:25" ht="12.75" customHeight="1" x14ac:dyDescent="0.2">
      <c r="A279" s="111"/>
      <c r="B279" s="246" t="s">
        <v>667</v>
      </c>
      <c r="C279" s="111" t="str">
        <f>HLOOKUP(Stats!$B$5,Professions!$E$2:$DD$57,46,0)</f>
        <v>3/7</v>
      </c>
      <c r="D279" s="111" t="str">
        <f>IF(Stats!$B$6="","",HLOOKUP(Stats!$B$6,Professions!$E$2:$DD$57,46,0))</f>
        <v>3/7</v>
      </c>
      <c r="E279" s="111"/>
      <c r="F279" s="111">
        <f>VLOOKUP(E279,Professions!$DQ$1:$DX$203,3)</f>
        <v>-15</v>
      </c>
      <c r="G279" s="111" t="s">
        <v>220</v>
      </c>
      <c r="H279" s="111">
        <f>Stats!$I$15</f>
        <v>7</v>
      </c>
      <c r="I279" s="111"/>
      <c r="J279" s="111"/>
      <c r="K279" s="197">
        <f t="shared" si="31"/>
        <v>-23.009999999999998</v>
      </c>
      <c r="M279" s="304"/>
      <c r="O279" s="80">
        <f t="shared" si="30"/>
        <v>0</v>
      </c>
      <c r="P279" s="115"/>
      <c r="Q279" s="305"/>
      <c r="Y279" s="80">
        <v>277</v>
      </c>
    </row>
    <row r="280" spans="1:25" ht="12.75" customHeight="1" x14ac:dyDescent="0.2">
      <c r="A280" s="111"/>
      <c r="B280" s="246" t="s">
        <v>668</v>
      </c>
      <c r="C280" s="111" t="str">
        <f>HLOOKUP(Stats!$B$5,Professions!$E$2:$DD$57,46,0)</f>
        <v>3/7</v>
      </c>
      <c r="D280" s="111" t="str">
        <f>IF(Stats!$B$6="","",HLOOKUP(Stats!$B$6,Professions!$E$2:$DD$57,46,0))</f>
        <v>3/7</v>
      </c>
      <c r="E280" s="111"/>
      <c r="F280" s="111">
        <f>VLOOKUP(E280,Professions!$DQ$1:$DX$203,3)</f>
        <v>-15</v>
      </c>
      <c r="G280" s="111" t="s">
        <v>389</v>
      </c>
      <c r="H280" s="111">
        <f>Stats!$I$14</f>
        <v>7</v>
      </c>
      <c r="I280" s="111"/>
      <c r="J280" s="111"/>
      <c r="K280" s="197">
        <f t="shared" si="31"/>
        <v>-23.009999999999998</v>
      </c>
      <c r="M280" s="304"/>
      <c r="O280" s="80">
        <f t="shared" si="30"/>
        <v>0</v>
      </c>
      <c r="P280" s="115"/>
      <c r="Q280" s="305"/>
      <c r="Y280" s="80">
        <v>278</v>
      </c>
    </row>
    <row r="281" spans="1:25" ht="12.75" customHeight="1" x14ac:dyDescent="0.2">
      <c r="A281" s="424" t="s">
        <v>366</v>
      </c>
      <c r="B281" s="424"/>
      <c r="C281" s="106" t="s">
        <v>4015</v>
      </c>
      <c r="D281" s="106" t="s">
        <v>4016</v>
      </c>
      <c r="E281" s="106" t="s">
        <v>367</v>
      </c>
      <c r="F281" s="106" t="s">
        <v>368</v>
      </c>
      <c r="G281" s="106" t="s">
        <v>369</v>
      </c>
      <c r="H281" s="292" t="s">
        <v>370</v>
      </c>
      <c r="I281" s="106" t="s">
        <v>371</v>
      </c>
      <c r="J281" s="293" t="s">
        <v>205</v>
      </c>
      <c r="K281" s="293" t="s">
        <v>207</v>
      </c>
      <c r="M281" s="304"/>
      <c r="O281" s="80" t="s">
        <v>367</v>
      </c>
      <c r="P281" s="115"/>
      <c r="Q281" s="305"/>
      <c r="Y281" s="80">
        <v>279</v>
      </c>
    </row>
    <row r="282" spans="1:25" ht="12.75" customHeight="1" x14ac:dyDescent="0.2">
      <c r="A282" s="327" t="s">
        <v>669</v>
      </c>
      <c r="B282" s="328"/>
      <c r="C282" s="180"/>
      <c r="D282" s="180"/>
      <c r="E282" s="157"/>
      <c r="F282" s="157"/>
      <c r="G282" s="157" t="s">
        <v>499</v>
      </c>
      <c r="H282" s="157">
        <f>Stats!$I$17+Stats!$I$16</f>
        <v>0</v>
      </c>
      <c r="I282" s="303">
        <f>IF(Stats!$M$4="",HLOOKUP(Stats!$B$5,Professions!$F$59:$DD$114,Professions!$DF$48,0),((HLOOKUP(Stats!$B$5,Professions!$F$59:$DD$114,Professions!$DF$48,0)+HLOOKUP(Stats!$B$6,Professions!$F$59:$DD$114,Professions!$DF$48,0))/2-0.01))</f>
        <v>-0.01</v>
      </c>
      <c r="J282" s="157"/>
      <c r="K282" s="329">
        <f>F282+H282+I282+J282</f>
        <v>-0.01</v>
      </c>
      <c r="M282" s="304"/>
      <c r="O282" s="80">
        <f t="shared" ref="O282:O313" si="32">E282+M282</f>
        <v>0</v>
      </c>
      <c r="P282" s="115"/>
      <c r="Q282" s="305"/>
      <c r="Y282" s="80">
        <v>280</v>
      </c>
    </row>
    <row r="283" spans="1:25" ht="12.75" customHeight="1" x14ac:dyDescent="0.2">
      <c r="A283" s="179"/>
      <c r="B283" s="257" t="s">
        <v>670</v>
      </c>
      <c r="C283" s="111" t="str">
        <f>HLOOKUP(Stats!$B$5,Professions!$E$2:$DD$57,47,0)</f>
        <v>8</v>
      </c>
      <c r="D283" s="111" t="str">
        <f>IF(Stats!$B$6="","",HLOOKUP(Stats!$B$6,Professions!$E$2:$DD$57,47,0))</f>
        <v>8</v>
      </c>
      <c r="E283" s="111"/>
      <c r="F283" s="111">
        <f>VLOOKUP(E283,Professions!$DQ$1:$DX$203,5)</f>
        <v>-30</v>
      </c>
      <c r="G283" s="111" t="s">
        <v>445</v>
      </c>
      <c r="H283" s="111">
        <f>Stats!$I$22</f>
        <v>10</v>
      </c>
      <c r="I283" s="111"/>
      <c r="J283" s="111"/>
      <c r="K283" s="197">
        <f t="shared" ref="K283:K293" si="33">F283+H283+I283+J283+$K$282</f>
        <v>-20.010000000000002</v>
      </c>
      <c r="M283" s="304"/>
      <c r="O283" s="80">
        <f t="shared" si="32"/>
        <v>0</v>
      </c>
      <c r="P283" s="115"/>
      <c r="Q283" s="305"/>
      <c r="Y283" s="80">
        <v>281</v>
      </c>
    </row>
    <row r="284" spans="1:25" ht="12.75" customHeight="1" x14ac:dyDescent="0.2">
      <c r="A284" s="111"/>
      <c r="B284" s="246" t="s">
        <v>671</v>
      </c>
      <c r="C284" s="111" t="str">
        <f>HLOOKUP(Stats!$B$5,Professions!$E$2:$DD$57,47,0)</f>
        <v>8</v>
      </c>
      <c r="D284" s="111" t="str">
        <f>IF(Stats!$B$6="","",HLOOKUP(Stats!$B$6,Professions!$E$2:$DD$57,47,0))</f>
        <v>8</v>
      </c>
      <c r="E284" s="111"/>
      <c r="F284" s="111">
        <f>VLOOKUP(E284,Professions!$DQ$1:$DX$203,5)</f>
        <v>-30</v>
      </c>
      <c r="G284" s="111" t="s">
        <v>462</v>
      </c>
      <c r="H284" s="111">
        <f>Stats!$I$21</f>
        <v>5</v>
      </c>
      <c r="I284" s="111"/>
      <c r="J284" s="111"/>
      <c r="K284" s="197">
        <f t="shared" si="33"/>
        <v>-25.01</v>
      </c>
      <c r="M284" s="304"/>
      <c r="O284" s="80">
        <f t="shared" si="32"/>
        <v>0</v>
      </c>
      <c r="P284" s="115"/>
      <c r="Q284" s="305"/>
      <c r="Y284" s="80">
        <v>282</v>
      </c>
    </row>
    <row r="285" spans="1:25" ht="12.75" customHeight="1" x14ac:dyDescent="0.2">
      <c r="A285" s="111"/>
      <c r="B285" s="246" t="s">
        <v>672</v>
      </c>
      <c r="C285" s="111" t="str">
        <f>HLOOKUP(Stats!$B$5,Professions!$E$2:$DD$57,47,0)</f>
        <v>8</v>
      </c>
      <c r="D285" s="111" t="str">
        <f>IF(Stats!$B$6="","",HLOOKUP(Stats!$B$6,Professions!$E$2:$DD$57,47,0))</f>
        <v>8</v>
      </c>
      <c r="E285" s="111"/>
      <c r="F285" s="111">
        <f>VLOOKUP(E285,Professions!$DQ$1:$DX$203,5)</f>
        <v>-30</v>
      </c>
      <c r="G285" s="111" t="s">
        <v>445</v>
      </c>
      <c r="H285" s="111">
        <f>Stats!$I$22</f>
        <v>10</v>
      </c>
      <c r="I285" s="111"/>
      <c r="J285" s="111"/>
      <c r="K285" s="197">
        <f t="shared" si="33"/>
        <v>-20.010000000000002</v>
      </c>
      <c r="M285" s="304"/>
      <c r="O285" s="80">
        <f t="shared" si="32"/>
        <v>0</v>
      </c>
      <c r="P285" s="115"/>
      <c r="Q285" s="305"/>
      <c r="Y285" s="80">
        <v>283</v>
      </c>
    </row>
    <row r="286" spans="1:25" ht="12.75" customHeight="1" x14ac:dyDescent="0.2">
      <c r="A286" s="111"/>
      <c r="B286" s="246" t="s">
        <v>673</v>
      </c>
      <c r="C286" s="111" t="str">
        <f>HLOOKUP(Stats!$B$5,Professions!$E$2:$DD$57,47,0)</f>
        <v>8</v>
      </c>
      <c r="D286" s="111" t="str">
        <f>IF(Stats!$B$6="","",HLOOKUP(Stats!$B$6,Professions!$E$2:$DD$57,47,0))</f>
        <v>8</v>
      </c>
      <c r="E286" s="111"/>
      <c r="F286" s="111">
        <f>VLOOKUP(E286,Professions!$DQ$1:$DX$203,5)</f>
        <v>-30</v>
      </c>
      <c r="G286" s="111" t="s">
        <v>220</v>
      </c>
      <c r="H286" s="111">
        <f>Stats!$I$15</f>
        <v>7</v>
      </c>
      <c r="I286" s="111"/>
      <c r="J286" s="111"/>
      <c r="K286" s="197">
        <f t="shared" si="33"/>
        <v>-23.01</v>
      </c>
      <c r="M286" s="304"/>
      <c r="O286" s="80">
        <f t="shared" si="32"/>
        <v>0</v>
      </c>
      <c r="P286" s="115"/>
      <c r="Q286" s="305"/>
      <c r="Y286" s="80">
        <v>284</v>
      </c>
    </row>
    <row r="287" spans="1:25" ht="12.75" customHeight="1" x14ac:dyDescent="0.2">
      <c r="A287" s="111"/>
      <c r="B287" s="246" t="s">
        <v>674</v>
      </c>
      <c r="C287" s="111" t="str">
        <f>HLOOKUP(Stats!$B$5,Professions!$E$2:$DD$57,47,0)</f>
        <v>8</v>
      </c>
      <c r="D287" s="111" t="str">
        <f>IF(Stats!$B$6="","",HLOOKUP(Stats!$B$6,Professions!$E$2:$DD$57,47,0))</f>
        <v>8</v>
      </c>
      <c r="E287" s="111"/>
      <c r="F287" s="111">
        <f>VLOOKUP(E287,Professions!$DQ$1:$DX$203,5)</f>
        <v>-30</v>
      </c>
      <c r="G287" s="111" t="s">
        <v>445</v>
      </c>
      <c r="H287" s="111">
        <f>Stats!$I$22</f>
        <v>10</v>
      </c>
      <c r="I287" s="111"/>
      <c r="J287" s="111"/>
      <c r="K287" s="197">
        <f t="shared" si="33"/>
        <v>-20.010000000000002</v>
      </c>
      <c r="M287" s="304"/>
      <c r="O287" s="80">
        <f t="shared" si="32"/>
        <v>0</v>
      </c>
      <c r="P287" s="115"/>
      <c r="Q287" s="305"/>
      <c r="Y287" s="80">
        <v>285</v>
      </c>
    </row>
    <row r="288" spans="1:25" ht="12.75" customHeight="1" x14ac:dyDescent="0.2">
      <c r="A288" s="111"/>
      <c r="B288" s="246" t="s">
        <v>675</v>
      </c>
      <c r="C288" s="111" t="str">
        <f>HLOOKUP(Stats!$B$5,Professions!$E$2:$DD$57,47,0)</f>
        <v>8</v>
      </c>
      <c r="D288" s="111" t="str">
        <f>IF(Stats!$B$6="","",HLOOKUP(Stats!$B$6,Professions!$E$2:$DD$57,47,0))</f>
        <v>8</v>
      </c>
      <c r="E288" s="111"/>
      <c r="F288" s="111">
        <f>VLOOKUP(E288,Professions!$DQ$1:$DX$203,5)</f>
        <v>-30</v>
      </c>
      <c r="G288" s="111" t="s">
        <v>389</v>
      </c>
      <c r="H288" s="111">
        <f>Stats!$I$14</f>
        <v>7</v>
      </c>
      <c r="I288" s="111"/>
      <c r="J288" s="111"/>
      <c r="K288" s="197">
        <f t="shared" si="33"/>
        <v>-23.01</v>
      </c>
      <c r="M288" s="304"/>
      <c r="O288" s="80">
        <f t="shared" si="32"/>
        <v>0</v>
      </c>
      <c r="P288" s="115"/>
      <c r="Q288" s="305"/>
      <c r="Y288" s="80">
        <v>286</v>
      </c>
    </row>
    <row r="289" spans="1:25" ht="12.75" customHeight="1" x14ac:dyDescent="0.2">
      <c r="A289" s="111"/>
      <c r="B289" s="246" t="s">
        <v>676</v>
      </c>
      <c r="C289" s="111" t="str">
        <f>HLOOKUP(Stats!$B$5,Professions!$E$2:$DD$57,47,0)</f>
        <v>8</v>
      </c>
      <c r="D289" s="111" t="str">
        <f>IF(Stats!$B$6="","",HLOOKUP(Stats!$B$6,Professions!$E$2:$DD$57,47,0))</f>
        <v>8</v>
      </c>
      <c r="E289" s="111"/>
      <c r="F289" s="111">
        <f>VLOOKUP(E289,Professions!$DQ$1:$DX$203,5)</f>
        <v>-30</v>
      </c>
      <c r="G289" s="111" t="s">
        <v>445</v>
      </c>
      <c r="H289" s="111">
        <f>Stats!$I$22</f>
        <v>10</v>
      </c>
      <c r="I289" s="111"/>
      <c r="J289" s="111"/>
      <c r="K289" s="197">
        <f t="shared" si="33"/>
        <v>-20.010000000000002</v>
      </c>
      <c r="M289" s="304"/>
      <c r="O289" s="80">
        <f t="shared" si="32"/>
        <v>0</v>
      </c>
      <c r="P289" s="115"/>
      <c r="Q289" s="305"/>
      <c r="Y289" s="80">
        <v>287</v>
      </c>
    </row>
    <row r="290" spans="1:25" ht="12.75" customHeight="1" x14ac:dyDescent="0.2">
      <c r="A290" s="111"/>
      <c r="B290" s="246" t="s">
        <v>677</v>
      </c>
      <c r="C290" s="111" t="str">
        <f>HLOOKUP(Stats!$B$5,Professions!$E$2:$DD$57,47,0)</f>
        <v>8</v>
      </c>
      <c r="D290" s="111" t="str">
        <f>IF(Stats!$B$6="","",HLOOKUP(Stats!$B$6,Professions!$E$2:$DD$57,47,0))</f>
        <v>8</v>
      </c>
      <c r="E290" s="111"/>
      <c r="F290" s="111">
        <f>VLOOKUP(E290,Professions!$DQ$1:$DX$203,5)</f>
        <v>-30</v>
      </c>
      <c r="G290" s="111" t="s">
        <v>445</v>
      </c>
      <c r="H290" s="111">
        <f>Stats!$I$22</f>
        <v>10</v>
      </c>
      <c r="I290" s="111"/>
      <c r="J290" s="111"/>
      <c r="K290" s="197">
        <f t="shared" si="33"/>
        <v>-20.010000000000002</v>
      </c>
      <c r="M290" s="304"/>
      <c r="O290" s="80">
        <f t="shared" si="32"/>
        <v>0</v>
      </c>
      <c r="P290" s="115"/>
      <c r="Q290" s="305"/>
      <c r="Y290" s="80">
        <v>288</v>
      </c>
    </row>
    <row r="291" spans="1:25" ht="12.75" customHeight="1" x14ac:dyDescent="0.2">
      <c r="A291" s="111"/>
      <c r="B291" s="246" t="s">
        <v>678</v>
      </c>
      <c r="C291" s="111" t="str">
        <f>HLOOKUP(Stats!$B$5,Professions!$E$2:$DD$57,47,0)</f>
        <v>8</v>
      </c>
      <c r="D291" s="111" t="str">
        <f>IF(Stats!$B$6="","",HLOOKUP(Stats!$B$6,Professions!$E$2:$DD$57,47,0))</f>
        <v>8</v>
      </c>
      <c r="E291" s="111"/>
      <c r="F291" s="111">
        <f>VLOOKUP(E291,Professions!$DQ$1:$DX$203,5)</f>
        <v>-30</v>
      </c>
      <c r="G291" s="111" t="s">
        <v>462</v>
      </c>
      <c r="H291" s="111">
        <f>Stats!$I$21</f>
        <v>5</v>
      </c>
      <c r="I291" s="111"/>
      <c r="J291" s="111"/>
      <c r="K291" s="197">
        <f t="shared" si="33"/>
        <v>-25.01</v>
      </c>
      <c r="M291" s="304"/>
      <c r="O291" s="80">
        <f t="shared" si="32"/>
        <v>0</v>
      </c>
      <c r="P291" s="115"/>
      <c r="Q291" s="305"/>
      <c r="Y291" s="80">
        <v>289</v>
      </c>
    </row>
    <row r="292" spans="1:25" ht="12.75" customHeight="1" x14ac:dyDescent="0.2">
      <c r="A292" s="111"/>
      <c r="B292" s="246" t="s">
        <v>679</v>
      </c>
      <c r="C292" s="111" t="str">
        <f>HLOOKUP(Stats!$B$5,Professions!$E$2:$DD$57,47,0)</f>
        <v>8</v>
      </c>
      <c r="D292" s="111" t="str">
        <f>IF(Stats!$B$6="","",HLOOKUP(Stats!$B$6,Professions!$E$2:$DD$57,47,0))</f>
        <v>8</v>
      </c>
      <c r="E292" s="111"/>
      <c r="F292" s="111">
        <f>VLOOKUP(E292,Professions!$DQ$1:$DX$203,5)</f>
        <v>-30</v>
      </c>
      <c r="G292" s="111" t="s">
        <v>462</v>
      </c>
      <c r="H292" s="111">
        <f>Stats!$I$21</f>
        <v>5</v>
      </c>
      <c r="I292" s="111"/>
      <c r="J292" s="111"/>
      <c r="K292" s="197">
        <f t="shared" si="33"/>
        <v>-25.01</v>
      </c>
      <c r="M292" s="304"/>
      <c r="O292" s="80">
        <f t="shared" si="32"/>
        <v>0</v>
      </c>
      <c r="P292" s="115"/>
      <c r="Q292" s="305"/>
      <c r="Y292" s="80">
        <v>290</v>
      </c>
    </row>
    <row r="293" spans="1:25" ht="12.75" customHeight="1" x14ac:dyDescent="0.2">
      <c r="A293" s="148"/>
      <c r="B293" s="309" t="s">
        <v>680</v>
      </c>
      <c r="C293" s="111" t="str">
        <f>HLOOKUP(Stats!$B$5,Professions!$E$2:$DD$57,47,0)</f>
        <v>8</v>
      </c>
      <c r="D293" s="111" t="str">
        <f>IF(Stats!$B$6="","",HLOOKUP(Stats!$B$6,Professions!$E$2:$DD$57,47,0))</f>
        <v>8</v>
      </c>
      <c r="E293" s="111"/>
      <c r="F293" s="111">
        <f>VLOOKUP(E293,Professions!$DQ$1:$DX$203,5)</f>
        <v>-30</v>
      </c>
      <c r="G293" s="111" t="s">
        <v>462</v>
      </c>
      <c r="H293" s="111">
        <f>Stats!$I$21</f>
        <v>5</v>
      </c>
      <c r="I293" s="111"/>
      <c r="J293" s="111"/>
      <c r="K293" s="197">
        <f t="shared" si="33"/>
        <v>-25.01</v>
      </c>
      <c r="M293" s="304"/>
      <c r="O293" s="80">
        <f t="shared" si="32"/>
        <v>0</v>
      </c>
      <c r="P293" s="115"/>
      <c r="Q293" s="305"/>
      <c r="Y293" s="80">
        <v>291</v>
      </c>
    </row>
    <row r="294" spans="1:25" ht="12.75" customHeight="1" x14ac:dyDescent="0.2">
      <c r="A294" s="244" t="s">
        <v>681</v>
      </c>
      <c r="B294" s="204"/>
      <c r="C294" s="226"/>
      <c r="D294" s="226"/>
      <c r="E294" s="302"/>
      <c r="F294" s="302"/>
      <c r="G294" s="302" t="s">
        <v>682</v>
      </c>
      <c r="H294" s="302">
        <f>Stats!I22+Stats!I16</f>
        <v>10</v>
      </c>
      <c r="I294" s="303">
        <f>IF(Stats!$M$4="",HLOOKUP(Stats!$B$5,Professions!$F$59:$DD$114,Professions!$DF$49,0),((HLOOKUP(Stats!$B$5,Professions!$F$59:$DD$114,Professions!$DF$49,0)+HLOOKUP(Stats!$B$6,Professions!$F$59:$DD$114,Professions!$DF$49,0))/2-0.01))</f>
        <v>-0.01</v>
      </c>
      <c r="J294" s="302"/>
      <c r="K294" s="303">
        <f>F294+H294+I294+J294</f>
        <v>9.99</v>
      </c>
      <c r="M294" s="304"/>
      <c r="O294" s="80">
        <f t="shared" si="32"/>
        <v>0</v>
      </c>
      <c r="P294" s="115"/>
      <c r="Q294" s="305"/>
      <c r="Y294" s="80">
        <v>292</v>
      </c>
    </row>
    <row r="295" spans="1:25" ht="12.75" customHeight="1" x14ac:dyDescent="0.2">
      <c r="A295" s="179"/>
      <c r="B295" s="257" t="s">
        <v>683</v>
      </c>
      <c r="C295" s="111" t="str">
        <f>HLOOKUP(Stats!$B$5,Professions!$E$2:$DD$57,48,0)</f>
        <v>5/12</v>
      </c>
      <c r="D295" s="111" t="str">
        <f>IF(Stats!$B$6="","",HLOOKUP(Stats!$B$6,Professions!$E$2:$DD$57,48,0))</f>
        <v>5/12</v>
      </c>
      <c r="E295" s="111"/>
      <c r="F295" s="111">
        <f>VLOOKUP(E295,Professions!$DQ$1:$DX$203,5)</f>
        <v>-30</v>
      </c>
      <c r="G295" s="111" t="s">
        <v>413</v>
      </c>
      <c r="H295" s="111">
        <f>Stats!$I$17</f>
        <v>0</v>
      </c>
      <c r="I295" s="111"/>
      <c r="J295" s="111"/>
      <c r="K295" s="197">
        <f t="shared" ref="K295:K306" si="34">F295+H295+I295+J295+$K$294</f>
        <v>-20.009999999999998</v>
      </c>
      <c r="M295" s="304"/>
      <c r="O295" s="80">
        <f t="shared" si="32"/>
        <v>0</v>
      </c>
      <c r="P295" s="115"/>
      <c r="Q295" s="305"/>
      <c r="Y295" s="80">
        <v>293</v>
      </c>
    </row>
    <row r="296" spans="1:25" ht="12.75" customHeight="1" x14ac:dyDescent="0.2">
      <c r="A296" s="111"/>
      <c r="B296" s="246" t="s">
        <v>684</v>
      </c>
      <c r="C296" s="111" t="str">
        <f>HLOOKUP(Stats!$B$5,Professions!$E$2:$DD$57,48,0)</f>
        <v>5/12</v>
      </c>
      <c r="D296" s="111" t="str">
        <f>IF(Stats!$B$6="","",HLOOKUP(Stats!$B$6,Professions!$E$2:$DD$57,48,0))</f>
        <v>5/12</v>
      </c>
      <c r="E296" s="111"/>
      <c r="F296" s="111">
        <f>VLOOKUP(E296,Professions!$DQ$1:$DX$203,5)</f>
        <v>-30</v>
      </c>
      <c r="G296" s="111" t="s">
        <v>389</v>
      </c>
      <c r="H296" s="111">
        <f>Stats!$I$14</f>
        <v>7</v>
      </c>
      <c r="I296" s="111"/>
      <c r="J296" s="111"/>
      <c r="K296" s="197">
        <f t="shared" si="34"/>
        <v>-13.01</v>
      </c>
      <c r="M296" s="304"/>
      <c r="O296" s="80">
        <f t="shared" si="32"/>
        <v>0</v>
      </c>
      <c r="P296" s="115"/>
      <c r="Q296" s="305"/>
      <c r="Y296" s="80">
        <v>294</v>
      </c>
    </row>
    <row r="297" spans="1:25" ht="12.75" customHeight="1" x14ac:dyDescent="0.2">
      <c r="A297" s="111"/>
      <c r="B297" s="246" t="s">
        <v>685</v>
      </c>
      <c r="C297" s="111" t="str">
        <f>HLOOKUP(Stats!$B$5,Professions!$E$2:$DD$57,48,0)</f>
        <v>5/12</v>
      </c>
      <c r="D297" s="111" t="str">
        <f>IF(Stats!$B$6="","",HLOOKUP(Stats!$B$6,Professions!$E$2:$DD$57,48,0))</f>
        <v>5/12</v>
      </c>
      <c r="E297" s="111"/>
      <c r="F297" s="111">
        <f>VLOOKUP(E297,Professions!$DQ$1:$DX$203,5)</f>
        <v>-30</v>
      </c>
      <c r="G297" s="111" t="s">
        <v>413</v>
      </c>
      <c r="H297" s="111">
        <f>Stats!$I$17</f>
        <v>0</v>
      </c>
      <c r="I297" s="111"/>
      <c r="J297" s="111"/>
      <c r="K297" s="197">
        <f t="shared" si="34"/>
        <v>-20.009999999999998</v>
      </c>
      <c r="M297" s="304"/>
      <c r="O297" s="80">
        <f t="shared" si="32"/>
        <v>0</v>
      </c>
      <c r="P297" s="115"/>
      <c r="Q297" s="305"/>
      <c r="Y297" s="80">
        <v>295</v>
      </c>
    </row>
    <row r="298" spans="1:25" ht="12.75" customHeight="1" x14ac:dyDescent="0.2">
      <c r="A298" s="111"/>
      <c r="B298" s="246" t="s">
        <v>686</v>
      </c>
      <c r="C298" s="111" t="str">
        <f>HLOOKUP(Stats!$B$5,Professions!$E$2:$DD$57,48,0)</f>
        <v>5/12</v>
      </c>
      <c r="D298" s="111" t="str">
        <f>IF(Stats!$B$6="","",HLOOKUP(Stats!$B$6,Professions!$E$2:$DD$57,48,0))</f>
        <v>5/12</v>
      </c>
      <c r="E298" s="111"/>
      <c r="F298" s="111">
        <f>VLOOKUP(E298,Professions!$DQ$1:$DX$203,5)</f>
        <v>-30</v>
      </c>
      <c r="G298" s="111" t="s">
        <v>413</v>
      </c>
      <c r="H298" s="111">
        <f>Stats!$I$17</f>
        <v>0</v>
      </c>
      <c r="I298" s="111"/>
      <c r="J298" s="111"/>
      <c r="K298" s="197">
        <f t="shared" si="34"/>
        <v>-20.009999999999998</v>
      </c>
      <c r="M298" s="304"/>
      <c r="O298" s="80">
        <f t="shared" si="32"/>
        <v>0</v>
      </c>
      <c r="P298" s="115"/>
      <c r="Q298" s="305"/>
      <c r="Y298" s="80">
        <v>296</v>
      </c>
    </row>
    <row r="299" spans="1:25" ht="12.75" customHeight="1" x14ac:dyDescent="0.2">
      <c r="A299" s="111"/>
      <c r="B299" s="246" t="s">
        <v>687</v>
      </c>
      <c r="C299" s="111" t="str">
        <f>HLOOKUP(Stats!$B$5,Professions!$E$2:$DD$57,48,0)</f>
        <v>5/12</v>
      </c>
      <c r="D299" s="111" t="str">
        <f>IF(Stats!$B$6="","",HLOOKUP(Stats!$B$6,Professions!$E$2:$DD$57,48,0))</f>
        <v>5/12</v>
      </c>
      <c r="E299" s="111"/>
      <c r="F299" s="111">
        <f>VLOOKUP(E299,Professions!$DQ$1:$DX$203,5)</f>
        <v>-30</v>
      </c>
      <c r="G299" s="111" t="s">
        <v>413</v>
      </c>
      <c r="H299" s="111">
        <f>Stats!$I$17</f>
        <v>0</v>
      </c>
      <c r="I299" s="111"/>
      <c r="J299" s="111"/>
      <c r="K299" s="197">
        <f t="shared" si="34"/>
        <v>-20.009999999999998</v>
      </c>
      <c r="M299" s="304"/>
      <c r="O299" s="80">
        <f t="shared" si="32"/>
        <v>0</v>
      </c>
      <c r="P299" s="115"/>
      <c r="Q299" s="305"/>
      <c r="Y299" s="80">
        <v>297</v>
      </c>
    </row>
    <row r="300" spans="1:25" ht="12.75" customHeight="1" x14ac:dyDescent="0.2">
      <c r="A300" s="111"/>
      <c r="B300" s="246" t="s">
        <v>688</v>
      </c>
      <c r="C300" s="111" t="str">
        <f>HLOOKUP(Stats!$B$5,Professions!$E$2:$DD$57,48,0)</f>
        <v>5/12</v>
      </c>
      <c r="D300" s="111" t="str">
        <f>IF(Stats!$B$6="","",HLOOKUP(Stats!$B$6,Professions!$E$2:$DD$57,48,0))</f>
        <v>5/12</v>
      </c>
      <c r="E300" s="111"/>
      <c r="F300" s="111">
        <f>VLOOKUP(E300,Professions!$DQ$1:$DX$203,5)</f>
        <v>-30</v>
      </c>
      <c r="G300" s="111" t="s">
        <v>413</v>
      </c>
      <c r="H300" s="111">
        <f>Stats!$I$17</f>
        <v>0</v>
      </c>
      <c r="I300" s="111"/>
      <c r="J300" s="111"/>
      <c r="K300" s="197">
        <f t="shared" si="34"/>
        <v>-20.009999999999998</v>
      </c>
      <c r="M300" s="304"/>
      <c r="O300" s="80">
        <f t="shared" si="32"/>
        <v>0</v>
      </c>
      <c r="P300" s="115"/>
      <c r="Q300" s="305"/>
      <c r="Y300" s="80">
        <v>298</v>
      </c>
    </row>
    <row r="301" spans="1:25" ht="12.75" customHeight="1" x14ac:dyDescent="0.2">
      <c r="A301" s="111"/>
      <c r="B301" s="246" t="s">
        <v>689</v>
      </c>
      <c r="C301" s="111" t="str">
        <f>HLOOKUP(Stats!$B$5,Professions!$E$2:$DD$57,48,0)</f>
        <v>5/12</v>
      </c>
      <c r="D301" s="111" t="str">
        <f>IF(Stats!$B$6="","",HLOOKUP(Stats!$B$6,Professions!$E$2:$DD$57,48,0))</f>
        <v>5/12</v>
      </c>
      <c r="E301" s="111"/>
      <c r="F301" s="111">
        <f>VLOOKUP(E301,Professions!$DQ$1:$DX$203,5)</f>
        <v>-30</v>
      </c>
      <c r="G301" s="111" t="s">
        <v>413</v>
      </c>
      <c r="H301" s="111">
        <f>Stats!$I$17</f>
        <v>0</v>
      </c>
      <c r="I301" s="111"/>
      <c r="J301" s="111"/>
      <c r="K301" s="197">
        <f t="shared" si="34"/>
        <v>-20.009999999999998</v>
      </c>
      <c r="M301" s="304"/>
      <c r="O301" s="80">
        <f t="shared" si="32"/>
        <v>0</v>
      </c>
      <c r="P301" s="115"/>
      <c r="Q301" s="305"/>
      <c r="Y301" s="80">
        <v>299</v>
      </c>
    </row>
    <row r="302" spans="1:25" ht="12.75" customHeight="1" x14ac:dyDescent="0.2">
      <c r="A302" s="111"/>
      <c r="B302" s="246" t="s">
        <v>690</v>
      </c>
      <c r="C302" s="111" t="str">
        <f>HLOOKUP(Stats!$B$5,Professions!$E$2:$DD$57,48,0)</f>
        <v>5/12</v>
      </c>
      <c r="D302" s="111" t="str">
        <f>IF(Stats!$B$6="","",HLOOKUP(Stats!$B$6,Professions!$E$2:$DD$57,48,0))</f>
        <v>5/12</v>
      </c>
      <c r="E302" s="111"/>
      <c r="F302" s="111">
        <f>VLOOKUP(E302,Professions!$DQ$1:$DX$203,5)</f>
        <v>-30</v>
      </c>
      <c r="G302" s="111" t="s">
        <v>413</v>
      </c>
      <c r="H302" s="111">
        <f>Stats!$I$17</f>
        <v>0</v>
      </c>
      <c r="I302" s="111"/>
      <c r="J302" s="111"/>
      <c r="K302" s="197">
        <f t="shared" si="34"/>
        <v>-20.009999999999998</v>
      </c>
      <c r="M302" s="304"/>
      <c r="O302" s="80">
        <f t="shared" si="32"/>
        <v>0</v>
      </c>
      <c r="P302" s="115"/>
      <c r="Q302" s="305"/>
      <c r="Y302" s="80">
        <v>300</v>
      </c>
    </row>
    <row r="303" spans="1:25" ht="12.75" customHeight="1" x14ac:dyDescent="0.2">
      <c r="A303" s="111"/>
      <c r="B303" s="246" t="s">
        <v>691</v>
      </c>
      <c r="C303" s="111" t="str">
        <f>HLOOKUP(Stats!$B$5,Professions!$E$2:$DD$57,48,0)</f>
        <v>5/12</v>
      </c>
      <c r="D303" s="111" t="str">
        <f>IF(Stats!$B$6="","",HLOOKUP(Stats!$B$6,Professions!$E$2:$DD$57,48,0))</f>
        <v>5/12</v>
      </c>
      <c r="E303" s="111"/>
      <c r="F303" s="111">
        <f>VLOOKUP(E303,Professions!$DQ$1:$DX$203,5)</f>
        <v>-30</v>
      </c>
      <c r="G303" s="111" t="s">
        <v>462</v>
      </c>
      <c r="H303" s="111">
        <f>Stats!$I$21</f>
        <v>5</v>
      </c>
      <c r="I303" s="111"/>
      <c r="J303" s="111"/>
      <c r="K303" s="197">
        <f t="shared" si="34"/>
        <v>-15.01</v>
      </c>
      <c r="M303" s="304"/>
      <c r="O303" s="80">
        <f t="shared" si="32"/>
        <v>0</v>
      </c>
      <c r="P303" s="115"/>
      <c r="Q303" s="305"/>
      <c r="Y303" s="80">
        <v>301</v>
      </c>
    </row>
    <row r="304" spans="1:25" ht="12.75" customHeight="1" x14ac:dyDescent="0.2">
      <c r="A304" s="111"/>
      <c r="B304" s="246" t="s">
        <v>692</v>
      </c>
      <c r="C304" s="111" t="str">
        <f>HLOOKUP(Stats!$B$5,Professions!$E$2:$DD$57,48,0)</f>
        <v>5/12</v>
      </c>
      <c r="D304" s="111" t="str">
        <f>IF(Stats!$B$6="","",HLOOKUP(Stats!$B$6,Professions!$E$2:$DD$57,48,0))</f>
        <v>5/12</v>
      </c>
      <c r="E304" s="111"/>
      <c r="F304" s="111">
        <f>VLOOKUP(E304,Professions!$DQ$1:$DX$203,5)</f>
        <v>-30</v>
      </c>
      <c r="G304" s="111" t="s">
        <v>462</v>
      </c>
      <c r="H304" s="111">
        <f>Stats!$I$21</f>
        <v>5</v>
      </c>
      <c r="I304" s="111"/>
      <c r="J304" s="111"/>
      <c r="K304" s="197">
        <f t="shared" si="34"/>
        <v>-15.01</v>
      </c>
      <c r="M304" s="304"/>
      <c r="O304" s="80">
        <f t="shared" si="32"/>
        <v>0</v>
      </c>
      <c r="P304" s="115"/>
      <c r="Q304" s="305"/>
      <c r="Y304" s="80">
        <v>302</v>
      </c>
    </row>
    <row r="305" spans="1:25" ht="12.75" customHeight="1" x14ac:dyDescent="0.2">
      <c r="A305" s="111"/>
      <c r="B305" s="246" t="s">
        <v>693</v>
      </c>
      <c r="C305" s="111" t="str">
        <f>HLOOKUP(Stats!$B$5,Professions!$E$2:$DD$57,48,0)</f>
        <v>5/12</v>
      </c>
      <c r="D305" s="111" t="str">
        <f>IF(Stats!$B$6="","",HLOOKUP(Stats!$B$6,Professions!$E$2:$DD$57,48,0))</f>
        <v>5/12</v>
      </c>
      <c r="E305" s="111"/>
      <c r="F305" s="111">
        <f>VLOOKUP(E305,Professions!$DQ$1:$DX$203,5)</f>
        <v>-30</v>
      </c>
      <c r="G305" s="111" t="s">
        <v>413</v>
      </c>
      <c r="H305" s="111">
        <f>Stats!$I$17</f>
        <v>0</v>
      </c>
      <c r="I305" s="111"/>
      <c r="J305" s="111"/>
      <c r="K305" s="197">
        <f t="shared" si="34"/>
        <v>-20.009999999999998</v>
      </c>
      <c r="M305" s="304"/>
      <c r="O305" s="80">
        <f t="shared" si="32"/>
        <v>0</v>
      </c>
      <c r="P305" s="115"/>
      <c r="Q305" s="305"/>
      <c r="Y305" s="80">
        <v>303</v>
      </c>
    </row>
    <row r="306" spans="1:25" ht="12.75" customHeight="1" x14ac:dyDescent="0.2">
      <c r="A306" s="148"/>
      <c r="B306" s="309" t="s">
        <v>694</v>
      </c>
      <c r="C306" s="111" t="str">
        <f>HLOOKUP(Stats!$B$5,Professions!$E$2:$DD$57,48,0)</f>
        <v>5/12</v>
      </c>
      <c r="D306" s="111" t="str">
        <f>IF(Stats!$B$6="","",HLOOKUP(Stats!$B$6,Professions!$E$2:$DD$57,48,0))</f>
        <v>5/12</v>
      </c>
      <c r="E306" s="111"/>
      <c r="F306" s="111">
        <f>VLOOKUP(E306,Professions!$DQ$1:$DX$203,5)</f>
        <v>-30</v>
      </c>
      <c r="G306" s="111" t="s">
        <v>413</v>
      </c>
      <c r="H306" s="111">
        <f>Stats!$I$17</f>
        <v>0</v>
      </c>
      <c r="I306" s="111"/>
      <c r="J306" s="111"/>
      <c r="K306" s="197">
        <f t="shared" si="34"/>
        <v>-20.009999999999998</v>
      </c>
      <c r="M306" s="304"/>
      <c r="O306" s="80">
        <f t="shared" si="32"/>
        <v>0</v>
      </c>
      <c r="P306" s="115"/>
      <c r="Q306" s="305"/>
      <c r="Y306" s="80">
        <v>304</v>
      </c>
    </row>
    <row r="307" spans="1:25" ht="12.75" customHeight="1" x14ac:dyDescent="0.2">
      <c r="A307" s="244" t="s">
        <v>695</v>
      </c>
      <c r="B307" s="204"/>
      <c r="C307" s="226" t="str">
        <f>HLOOKUP(Stats!$B$5,Professions!$E$2:$DD$57,49,0)</f>
        <v>3</v>
      </c>
      <c r="D307" s="226" t="str">
        <f>IF(Stats!$B$6="","",HLOOKUP(Stats!$B$6,Professions!$E$2:$DD$57,49,0))</f>
        <v>2/4</v>
      </c>
      <c r="E307" s="302"/>
      <c r="F307" s="302">
        <f>VLOOKUP(E307,Professions!$DQ$1:$DX$203,2)</f>
        <v>-15</v>
      </c>
      <c r="G307" s="302" t="s">
        <v>696</v>
      </c>
      <c r="H307" s="302">
        <f>Stats!I22+Stats!I20</f>
        <v>12</v>
      </c>
      <c r="I307" s="303">
        <f>IF(Stats!$M$4="",HLOOKUP(Stats!$B$5,Professions!$F$59:$DD$114,Professions!$DF$50,0),((HLOOKUP(Stats!$B$5,Professions!$F$59:$DD$114,Professions!$DF$50,0)+HLOOKUP(Stats!$B$6,Professions!$F$59:$DD$114,Professions!$DF$50,0))/2-0.01))</f>
        <v>-0.01</v>
      </c>
      <c r="J307" s="302"/>
      <c r="K307" s="303">
        <f>F307+H307+I307+J307</f>
        <v>-3.01</v>
      </c>
      <c r="M307" s="304"/>
      <c r="O307" s="80">
        <f t="shared" si="32"/>
        <v>0</v>
      </c>
      <c r="P307" s="115"/>
      <c r="Q307" s="305">
        <f>HLOOKUP(Stats!$B$2,Races!$AK$4:$EH$50,Races!EH37,0)</f>
        <v>0</v>
      </c>
      <c r="Y307" s="80">
        <v>305</v>
      </c>
    </row>
    <row r="308" spans="1:25" ht="12.75" customHeight="1" x14ac:dyDescent="0.2">
      <c r="A308" s="179"/>
      <c r="B308" s="257" t="s">
        <v>697</v>
      </c>
      <c r="C308" s="111" t="str">
        <f>HLOOKUP(Stats!$B$5,Professions!$E$2:$DD$57,49,0)</f>
        <v>3</v>
      </c>
      <c r="D308" s="111" t="str">
        <f>IF(Stats!$B$6="","",HLOOKUP(Stats!$B$6,Professions!$E$2:$DD$57,49,0))</f>
        <v>2/4</v>
      </c>
      <c r="E308" s="111"/>
      <c r="F308" s="111">
        <f>VLOOKUP(E308,Professions!$DQ$1:$DX$203,3)</f>
        <v>-15</v>
      </c>
      <c r="G308" s="111" t="s">
        <v>413</v>
      </c>
      <c r="H308" s="111">
        <f>Stats!$I$17</f>
        <v>0</v>
      </c>
      <c r="I308" s="111"/>
      <c r="J308" s="111"/>
      <c r="K308" s="197">
        <f>F308+H308+I308+J308+$K$307</f>
        <v>-18.009999999999998</v>
      </c>
      <c r="M308" s="304"/>
      <c r="O308" s="80">
        <f t="shared" si="32"/>
        <v>0</v>
      </c>
      <c r="P308" s="115"/>
      <c r="Q308" s="305"/>
      <c r="Y308" s="80">
        <v>306</v>
      </c>
    </row>
    <row r="309" spans="1:25" ht="12.75" customHeight="1" x14ac:dyDescent="0.2">
      <c r="A309" s="111"/>
      <c r="B309" s="246" t="s">
        <v>698</v>
      </c>
      <c r="C309" s="111" t="str">
        <f>HLOOKUP(Stats!$B$5,Professions!$E$2:$DD$57,49,0)</f>
        <v>3</v>
      </c>
      <c r="D309" s="111" t="str">
        <f>IF(Stats!$B$6="","",HLOOKUP(Stats!$B$6,Professions!$E$2:$DD$57,49,0))</f>
        <v>2/4</v>
      </c>
      <c r="E309" s="111"/>
      <c r="F309" s="111">
        <f>VLOOKUP(E309,Professions!$DQ$1:$DX$203,3)</f>
        <v>-15</v>
      </c>
      <c r="G309" s="111" t="s">
        <v>389</v>
      </c>
      <c r="H309" s="111">
        <f>Stats!$I$14</f>
        <v>7</v>
      </c>
      <c r="I309" s="111"/>
      <c r="J309" s="111"/>
      <c r="K309" s="197">
        <f>F309+H309+I309+J309+$K$307</f>
        <v>-11.01</v>
      </c>
      <c r="M309" s="304"/>
      <c r="O309" s="80">
        <f t="shared" si="32"/>
        <v>0</v>
      </c>
      <c r="P309" s="115"/>
      <c r="Q309" s="305"/>
      <c r="Y309" s="80">
        <v>307</v>
      </c>
    </row>
    <row r="310" spans="1:25" ht="12.75" customHeight="1" x14ac:dyDescent="0.2">
      <c r="A310" s="111"/>
      <c r="B310" s="246" t="s">
        <v>699</v>
      </c>
      <c r="C310" s="111" t="str">
        <f>HLOOKUP(Stats!$B$5,Professions!$E$2:$DD$57,49,0)</f>
        <v>3</v>
      </c>
      <c r="D310" s="111" t="str">
        <f>IF(Stats!$B$6="","",HLOOKUP(Stats!$B$6,Professions!$E$2:$DD$57,49,0))</f>
        <v>2/4</v>
      </c>
      <c r="E310" s="111"/>
      <c r="F310" s="111">
        <f>VLOOKUP(E310,Professions!$DQ$1:$DX$203,3)</f>
        <v>-15</v>
      </c>
      <c r="G310" s="111" t="s">
        <v>413</v>
      </c>
      <c r="H310" s="111">
        <f>Stats!$I$17</f>
        <v>0</v>
      </c>
      <c r="I310" s="111"/>
      <c r="J310" s="111"/>
      <c r="K310" s="197">
        <f>F310+H310+I310+J310+$K$307</f>
        <v>-18.009999999999998</v>
      </c>
      <c r="M310" s="304"/>
      <c r="O310" s="80">
        <f t="shared" si="32"/>
        <v>0</v>
      </c>
      <c r="P310" s="115"/>
      <c r="Q310" s="305"/>
      <c r="Y310" s="80">
        <v>308</v>
      </c>
    </row>
    <row r="311" spans="1:25" ht="12.75" customHeight="1" x14ac:dyDescent="0.2">
      <c r="A311" s="148"/>
      <c r="B311" s="309" t="s">
        <v>700</v>
      </c>
      <c r="C311" s="111" t="str">
        <f>HLOOKUP(Stats!$B$5,Professions!$E$2:$DD$57,49,0)</f>
        <v>3</v>
      </c>
      <c r="D311" s="111" t="str">
        <f>IF(Stats!$B$6="","",HLOOKUP(Stats!$B$6,Professions!$E$2:$DD$57,49,0))</f>
        <v>2/4</v>
      </c>
      <c r="E311" s="111"/>
      <c r="F311" s="111">
        <f>VLOOKUP(E311,Professions!$DQ$1:$DX$203,3)</f>
        <v>-15</v>
      </c>
      <c r="G311" s="111" t="s">
        <v>462</v>
      </c>
      <c r="H311" s="111">
        <f>Stats!$I$21</f>
        <v>5</v>
      </c>
      <c r="I311" s="111"/>
      <c r="J311" s="111"/>
      <c r="K311" s="197">
        <f>F311+H311+I311+J311+$K$307</f>
        <v>-13.01</v>
      </c>
      <c r="M311" s="304"/>
      <c r="O311" s="80">
        <f t="shared" si="32"/>
        <v>0</v>
      </c>
      <c r="P311" s="115"/>
      <c r="Q311" s="305"/>
      <c r="Y311" s="80">
        <v>309</v>
      </c>
    </row>
    <row r="312" spans="1:25" ht="12.75" customHeight="1" x14ac:dyDescent="0.2">
      <c r="A312" s="244" t="s">
        <v>701</v>
      </c>
      <c r="B312" s="204"/>
      <c r="C312" s="226" t="str">
        <f>HLOOKUP(Stats!$B$5,Professions!$E$2:$DD$57,50,0)</f>
        <v>9</v>
      </c>
      <c r="D312" s="226" t="str">
        <f>IF(Stats!$B$6="","",HLOOKUP(Stats!$B$6,Professions!$E$2:$DD$57,50,0))</f>
        <v>1/5</v>
      </c>
      <c r="E312" s="302"/>
      <c r="F312" s="302">
        <f>VLOOKUP(E312,Professions!$DQ$1:$DX$203,2)</f>
        <v>-15</v>
      </c>
      <c r="G312" s="302" t="s">
        <v>381</v>
      </c>
      <c r="H312" s="302">
        <f>Stats!$I$18+Stats!$I$14</f>
        <v>16</v>
      </c>
      <c r="I312" s="303">
        <f>IF(Stats!$M$4="",HLOOKUP(Stats!$B$5,Professions!$F$59:$DD$114,Professions!$DF$51,0),((HLOOKUP(Stats!$B$5,Professions!$F$59:$DD$114,Professions!$DF$51,0)+HLOOKUP(Stats!$B$6,Professions!$F$59:$DD$114,Professions!$DF$51,0))/2-0.01))</f>
        <v>9.99</v>
      </c>
      <c r="J312" s="302"/>
      <c r="K312" s="303">
        <f>F312+H312+I312+J312</f>
        <v>10.99</v>
      </c>
      <c r="M312" s="304"/>
      <c r="O312" s="80">
        <f t="shared" si="32"/>
        <v>0</v>
      </c>
      <c r="P312" s="115"/>
      <c r="Q312" s="305">
        <f>HLOOKUP(Stats!$B$2,Races!$AK$4:$EH$50,Races!EH38,0)</f>
        <v>2</v>
      </c>
      <c r="R312" s="79" t="s">
        <v>702</v>
      </c>
      <c r="S312" s="79"/>
      <c r="T312" s="103" t="s">
        <v>703</v>
      </c>
      <c r="Y312" s="80">
        <v>310</v>
      </c>
    </row>
    <row r="313" spans="1:25" ht="12.75" customHeight="1" x14ac:dyDescent="0.2">
      <c r="A313" s="179"/>
      <c r="B313" s="257" t="s">
        <v>704</v>
      </c>
      <c r="C313" s="111" t="str">
        <f>HLOOKUP(Stats!$B$5,Professions!$E$2:$DD$57,50,0)</f>
        <v>9</v>
      </c>
      <c r="D313" s="111" t="str">
        <f>IF(Stats!$B$6="","",HLOOKUP(Stats!$B$6,Professions!$E$2:$DD$57,50,0))</f>
        <v>1/5</v>
      </c>
      <c r="E313" s="111"/>
      <c r="F313" s="111">
        <f>VLOOKUP(E313,Professions!$DQ$1:$DX$203,3)</f>
        <v>-15</v>
      </c>
      <c r="G313" s="111" t="s">
        <v>384</v>
      </c>
      <c r="H313" s="111">
        <f>Stats!$I$18</f>
        <v>9</v>
      </c>
      <c r="I313" s="111"/>
      <c r="J313" s="111"/>
      <c r="K313" s="197">
        <f>F313+H313+I313+J313+$K$312+0.000001</f>
        <v>4.9900010000000004</v>
      </c>
      <c r="M313" s="304"/>
      <c r="O313" s="80">
        <f t="shared" si="32"/>
        <v>0</v>
      </c>
      <c r="P313" s="115"/>
      <c r="Q313" s="305">
        <f>HLOOKUP(Stats!$B$2,Races!$AK$4:$EH$50,Races!EH39,0)</f>
        <v>2</v>
      </c>
      <c r="R313" s="80" t="s">
        <v>705</v>
      </c>
      <c r="T313" s="308" t="str">
        <f>HLOOKUP(Stats!$B$2,Taulukko16[[Dragonborn]:[Hakua varten]],2,0)</f>
        <v>Dagger</v>
      </c>
      <c r="Y313" s="80">
        <v>311</v>
      </c>
    </row>
    <row r="314" spans="1:25" ht="12.75" customHeight="1" x14ac:dyDescent="0.2">
      <c r="A314" s="111"/>
      <c r="B314" s="246" t="s">
        <v>704</v>
      </c>
      <c r="C314" s="111" t="str">
        <f>HLOOKUP(Stats!$B$5,Professions!$E$2:$DD$57,50,0)</f>
        <v>9</v>
      </c>
      <c r="D314" s="111" t="str">
        <f>IF(Stats!$B$6="","",HLOOKUP(Stats!$B$6,Professions!$E$2:$DD$57,50,0))</f>
        <v>1/5</v>
      </c>
      <c r="E314" s="111"/>
      <c r="F314" s="111">
        <f>VLOOKUP(E314,Professions!$DQ$1:$DX$203,3)</f>
        <v>-15</v>
      </c>
      <c r="G314" s="111" t="s">
        <v>384</v>
      </c>
      <c r="H314" s="111">
        <f>Stats!$I$18</f>
        <v>9</v>
      </c>
      <c r="I314" s="111"/>
      <c r="J314" s="111"/>
      <c r="K314" s="197">
        <f>F314+H314+I314+J314+$K$312+0.000002</f>
        <v>4.9900020000000005</v>
      </c>
      <c r="M314" s="304"/>
      <c r="O314" s="80">
        <f t="shared" ref="O314:O337" si="35">E314+M314</f>
        <v>0</v>
      </c>
      <c r="P314" s="115"/>
      <c r="Q314" s="305"/>
      <c r="T314" s="308" t="str">
        <f>HLOOKUP(Stats!$B$2,Taulukko16[[Dragonborn]:[Hakua varten]],3,0)</f>
        <v>Broadsword</v>
      </c>
      <c r="Y314" s="80">
        <v>312</v>
      </c>
    </row>
    <row r="315" spans="1:25" ht="12.75" customHeight="1" x14ac:dyDescent="0.2">
      <c r="A315" s="148"/>
      <c r="B315" s="309" t="s">
        <v>704</v>
      </c>
      <c r="C315" s="111" t="str">
        <f>HLOOKUP(Stats!$B$5,Professions!$E$2:$DD$57,50,0)</f>
        <v>9</v>
      </c>
      <c r="D315" s="111" t="str">
        <f>IF(Stats!$B$6="","",HLOOKUP(Stats!$B$6,Professions!$E$2:$DD$57,50,0))</f>
        <v>1/5</v>
      </c>
      <c r="E315" s="111"/>
      <c r="F315" s="111">
        <f>VLOOKUP(E315,Professions!$DQ$1:$DX$203,3)</f>
        <v>-15</v>
      </c>
      <c r="G315" s="111" t="s">
        <v>384</v>
      </c>
      <c r="H315" s="111">
        <f>Stats!$I$18</f>
        <v>9</v>
      </c>
      <c r="I315" s="111"/>
      <c r="J315" s="111"/>
      <c r="K315" s="197">
        <f>F315+H315+I315+J315+$K$312+0.000003</f>
        <v>4.9900030000000006</v>
      </c>
      <c r="M315" s="304"/>
      <c r="O315" s="80">
        <f t="shared" si="35"/>
        <v>0</v>
      </c>
      <c r="P315" s="115"/>
      <c r="Q315" s="305">
        <f>HLOOKUP(Stats!$B$2,Races!$AK$4:$EH$50,Races!EH40,0)</f>
        <v>1</v>
      </c>
      <c r="R315" s="79" t="s">
        <v>706</v>
      </c>
      <c r="S315" s="79"/>
      <c r="T315" s="308" t="str">
        <f>HLOOKUP(Stats!$B$2,Taulukko16[[Dragonborn]:[Hakua varten]],4,0)</f>
        <v>Long Sword</v>
      </c>
      <c r="Y315" s="80">
        <v>313</v>
      </c>
    </row>
    <row r="316" spans="1:25" ht="12.75" customHeight="1" x14ac:dyDescent="0.2">
      <c r="A316" s="244" t="s">
        <v>707</v>
      </c>
      <c r="B316" s="204"/>
      <c r="C316" s="226" t="str">
        <f>HLOOKUP(Stats!$B$5,Professions!$E$2:$DD$57,51,0)</f>
        <v>20</v>
      </c>
      <c r="D316" s="226" t="str">
        <f>IF(Stats!$B$6="","",HLOOKUP(Stats!$B$6,Professions!$E$2:$DD$57,51,0))</f>
        <v>2/5</v>
      </c>
      <c r="E316" s="302"/>
      <c r="F316" s="302">
        <f>VLOOKUP(E316,Professions!$DQ$1:$DX$203,2)</f>
        <v>-15</v>
      </c>
      <c r="G316" s="302" t="s">
        <v>381</v>
      </c>
      <c r="H316" s="302">
        <f>Stats!$I$18+Stats!$I$14</f>
        <v>16</v>
      </c>
      <c r="I316" s="303">
        <f>IF(Stats!$M$4="",HLOOKUP(Stats!$B$5,Professions!$F$59:$DD$114,Professions!$DF$52,0),((HLOOKUP(Stats!$B$5,Professions!$F$59:$DD$114,Professions!$DF$52,0)+HLOOKUP(Stats!$B$6,Professions!$F$59:$DD$114,Professions!$DF$52,0))/2-0.01))</f>
        <v>9.99</v>
      </c>
      <c r="J316" s="302"/>
      <c r="K316" s="303">
        <f>F316+H316+I316+J316</f>
        <v>10.99</v>
      </c>
      <c r="M316" s="304"/>
      <c r="O316" s="80">
        <f t="shared" si="35"/>
        <v>0</v>
      </c>
      <c r="P316" s="115"/>
      <c r="Q316" s="305">
        <f>HLOOKUP(Stats!$B$2,Races!$AK$4:$EH$50,Races!EH41,0)</f>
        <v>1</v>
      </c>
      <c r="R316" s="80" t="s">
        <v>708</v>
      </c>
      <c r="T316" s="308" t="str">
        <f>HLOOKUP(Stats!$B$2,Taulukko16[[Dragonborn]:[Hakua varten]],5,0)</f>
        <v>War Hammer</v>
      </c>
      <c r="Y316" s="80">
        <v>314</v>
      </c>
    </row>
    <row r="317" spans="1:25" ht="12.75" customHeight="1" x14ac:dyDescent="0.2">
      <c r="A317" s="179"/>
      <c r="B317" s="257" t="s">
        <v>3985</v>
      </c>
      <c r="C317" s="111" t="str">
        <f>HLOOKUP(Stats!$B$5,Professions!$E$2:$DD$57,51,0)</f>
        <v>20</v>
      </c>
      <c r="D317" s="111" t="str">
        <f>IF(Stats!$B$6="","",HLOOKUP(Stats!$B$6,Professions!$E$2:$DD$57,51,0))</f>
        <v>2/5</v>
      </c>
      <c r="E317" s="111"/>
      <c r="F317" s="111">
        <f>VLOOKUP(E317,Professions!$DQ$1:$DX$203,3)</f>
        <v>-15</v>
      </c>
      <c r="G317" s="111" t="s">
        <v>384</v>
      </c>
      <c r="H317" s="111">
        <f>Stats!$I$18</f>
        <v>9</v>
      </c>
      <c r="I317" s="111"/>
      <c r="J317" s="111"/>
      <c r="K317" s="197">
        <f>F317+H317+I317+J317+$K$316+0.00004</f>
        <v>4.9900400000000005</v>
      </c>
      <c r="M317" s="304"/>
      <c r="O317" s="80">
        <f t="shared" si="35"/>
        <v>0</v>
      </c>
      <c r="P317" s="115"/>
      <c r="Q317" s="305"/>
      <c r="T317" s="308" t="str">
        <f>HLOOKUP(Stats!$B$2,Taulukko16[[Dragonborn]:[Hakua varten]],6,0)</f>
        <v>Mace</v>
      </c>
      <c r="Y317" s="80">
        <v>315</v>
      </c>
    </row>
    <row r="318" spans="1:25" ht="12.75" customHeight="1" x14ac:dyDescent="0.2">
      <c r="A318" s="111"/>
      <c r="B318" s="257" t="s">
        <v>3985</v>
      </c>
      <c r="C318" s="111" t="str">
        <f>HLOOKUP(Stats!$B$5,Professions!$E$2:$DD$57,51,0)</f>
        <v>20</v>
      </c>
      <c r="D318" s="111" t="str">
        <f>IF(Stats!$B$6="","",HLOOKUP(Stats!$B$6,Professions!$E$2:$DD$57,51,0))</f>
        <v>2/5</v>
      </c>
      <c r="E318" s="111"/>
      <c r="F318" s="111">
        <f>VLOOKUP(E318,Professions!$DQ$1:$DX$203,3)</f>
        <v>-15</v>
      </c>
      <c r="G318" s="111" t="s">
        <v>384</v>
      </c>
      <c r="H318" s="111">
        <f>Stats!$I$18</f>
        <v>9</v>
      </c>
      <c r="I318" s="111"/>
      <c r="J318" s="111"/>
      <c r="K318" s="197">
        <f>F318+H318+I318+J318+$K$316+0.00005</f>
        <v>4.9900500000000001</v>
      </c>
      <c r="M318" s="304"/>
      <c r="O318" s="80">
        <f t="shared" si="35"/>
        <v>0</v>
      </c>
      <c r="P318" s="115"/>
      <c r="Q318" s="305">
        <f>HLOOKUP(Stats!$B$2,Races!$AK$4:$EH$50,Races!EH42,0)</f>
        <v>0</v>
      </c>
      <c r="R318" s="79" t="s">
        <v>709</v>
      </c>
      <c r="S318" s="79"/>
      <c r="T318" s="308" t="str">
        <f>HLOOKUP(Stats!$B$2,Taulukko16[[Dragonborn]:[Hakua varten]],7,0)</f>
        <v>Morning Star</v>
      </c>
      <c r="Y318" s="80">
        <v>316</v>
      </c>
    </row>
    <row r="319" spans="1:25" ht="12.75" customHeight="1" x14ac:dyDescent="0.2">
      <c r="A319" s="148"/>
      <c r="B319" s="257" t="s">
        <v>3985</v>
      </c>
      <c r="C319" s="111" t="str">
        <f>HLOOKUP(Stats!$B$5,Professions!$E$2:$DD$57,51,0)</f>
        <v>20</v>
      </c>
      <c r="D319" s="111" t="str">
        <f>IF(Stats!$B$6="","",HLOOKUP(Stats!$B$6,Professions!$E$2:$DD$57,51,0))</f>
        <v>2/5</v>
      </c>
      <c r="E319" s="111"/>
      <c r="F319" s="111">
        <f>VLOOKUP(E319,Professions!$DQ$1:$DX$203,3)</f>
        <v>-15</v>
      </c>
      <c r="G319" s="111" t="s">
        <v>384</v>
      </c>
      <c r="H319" s="111">
        <f>Stats!$I$18</f>
        <v>9</v>
      </c>
      <c r="I319" s="111"/>
      <c r="J319" s="111"/>
      <c r="K319" s="197">
        <f>F319+H319+I319+J319+$K$316+0.00006</f>
        <v>4.9900600000000006</v>
      </c>
      <c r="M319" s="304"/>
      <c r="O319" s="80">
        <f t="shared" si="35"/>
        <v>0</v>
      </c>
      <c r="P319" s="115"/>
      <c r="Q319" s="305">
        <f>HLOOKUP(Stats!$B$2,Races!$AK$4:$EH$50,Races!EH43,0)</f>
        <v>0</v>
      </c>
      <c r="R319" s="80" t="s">
        <v>710</v>
      </c>
      <c r="T319" s="308" t="str">
        <f>HLOOKUP(Stats!$B$2,Taulukko16[[Dragonborn]:[Hakua varten]],8,0)</f>
        <v>Composite Bow</v>
      </c>
      <c r="Y319" s="80">
        <v>317</v>
      </c>
    </row>
    <row r="320" spans="1:25" ht="12.75" customHeight="1" x14ac:dyDescent="0.2">
      <c r="A320" s="244" t="s">
        <v>711</v>
      </c>
      <c r="B320" s="204"/>
      <c r="C320" s="226" t="str">
        <f>HLOOKUP(Stats!$B$5,Professions!$E$2:$DD$57,52,0)</f>
        <v>20</v>
      </c>
      <c r="D320" s="226" t="str">
        <f>IF(Stats!$B$6="","",HLOOKUP(Stats!$B$6,Professions!$E$2:$DD$57,52,0))</f>
        <v>2/7</v>
      </c>
      <c r="E320" s="302"/>
      <c r="F320" s="302">
        <f>VLOOKUP(E320,Professions!$DQ$1:$DX$203,2)</f>
        <v>-15</v>
      </c>
      <c r="G320" s="302" t="s">
        <v>381</v>
      </c>
      <c r="H320" s="302">
        <f>Stats!$I$18+Stats!$I$14</f>
        <v>16</v>
      </c>
      <c r="I320" s="303">
        <f>IF(Stats!$M$4="",HLOOKUP(Stats!$B$5,Professions!$F$59:$DD$114,Professions!$DF$53,0),((HLOOKUP(Stats!$B$5,Professions!$F$59:$DD$114,Professions!$DF$53,0)+HLOOKUP(Stats!$B$6,Professions!$F$59:$DD$114,Professions!$DF$53,0))/2-0.01))</f>
        <v>9.99</v>
      </c>
      <c r="J320" s="302"/>
      <c r="K320" s="303">
        <f>F320+H320+I320+J320</f>
        <v>10.99</v>
      </c>
      <c r="M320" s="304"/>
      <c r="O320" s="80">
        <f t="shared" si="35"/>
        <v>0</v>
      </c>
      <c r="P320" s="115"/>
      <c r="Q320" s="305"/>
      <c r="T320" s="308" t="str">
        <f>HLOOKUP(Stats!$B$2,Taulukko16[[Dragonborn]:[Hakua varten]],9,0)</f>
        <v>Light Crossbow</v>
      </c>
      <c r="Y320" s="80">
        <v>318</v>
      </c>
    </row>
    <row r="321" spans="1:25" ht="12.75" customHeight="1" x14ac:dyDescent="0.2">
      <c r="A321" s="179"/>
      <c r="B321" s="257" t="s">
        <v>712</v>
      </c>
      <c r="C321" s="111" t="str">
        <f>HLOOKUP(Stats!$B$5,Professions!$E$2:$DD$57,52,0)</f>
        <v>20</v>
      </c>
      <c r="D321" s="111" t="str">
        <f>IF(Stats!$B$6="","",HLOOKUP(Stats!$B$6,Professions!$E$2:$DD$57,52,0))</f>
        <v>2/7</v>
      </c>
      <c r="E321" s="111"/>
      <c r="F321" s="111">
        <f>VLOOKUP(E321,Professions!$DQ$1:$DX$203,3)</f>
        <v>-15</v>
      </c>
      <c r="G321" s="111" t="s">
        <v>384</v>
      </c>
      <c r="H321" s="111">
        <f>Stats!$I$18</f>
        <v>9</v>
      </c>
      <c r="I321" s="111"/>
      <c r="J321" s="111"/>
      <c r="K321" s="197">
        <f>F321+H321+I321+J321+$K$320+0.00007</f>
        <v>4.9900700000000002</v>
      </c>
      <c r="M321" s="304"/>
      <c r="O321" s="80">
        <f t="shared" si="35"/>
        <v>0</v>
      </c>
      <c r="P321" s="115"/>
      <c r="Q321" s="305">
        <f>HLOOKUP(Stats!$B$2,Races!$AK$4:$EH$50,Races!EH44,0)</f>
        <v>0</v>
      </c>
      <c r="R321" s="79" t="s">
        <v>713</v>
      </c>
      <c r="S321" s="79"/>
      <c r="T321" s="308" t="str">
        <f>HLOOKUP(Stats!$B$2,Taulukko16[[Dragonborn]:[Hakua varten]],10,0)</f>
        <v>Battle Axe</v>
      </c>
      <c r="Y321" s="80">
        <v>319</v>
      </c>
    </row>
    <row r="322" spans="1:25" ht="12.75" customHeight="1" x14ac:dyDescent="0.2">
      <c r="A322" s="111"/>
      <c r="B322" s="246" t="s">
        <v>712</v>
      </c>
      <c r="C322" s="111" t="str">
        <f>HLOOKUP(Stats!$B$5,Professions!$E$2:$DD$57,52,0)</f>
        <v>20</v>
      </c>
      <c r="D322" s="111" t="str">
        <f>IF(Stats!$B$6="","",HLOOKUP(Stats!$B$6,Professions!$E$2:$DD$57,52,0))</f>
        <v>2/7</v>
      </c>
      <c r="E322" s="111"/>
      <c r="F322" s="111">
        <f>VLOOKUP(E322,Professions!$DQ$1:$DX$203,3)</f>
        <v>-15</v>
      </c>
      <c r="G322" s="111" t="s">
        <v>384</v>
      </c>
      <c r="H322" s="111">
        <f>Stats!$I$18</f>
        <v>9</v>
      </c>
      <c r="I322" s="111"/>
      <c r="J322" s="111"/>
      <c r="K322" s="197">
        <f>F322+H322+I322+J322+$K$320+0.00008</f>
        <v>4.9900799999999998</v>
      </c>
      <c r="M322" s="304"/>
      <c r="O322" s="80">
        <f t="shared" si="35"/>
        <v>0</v>
      </c>
      <c r="P322" s="115"/>
      <c r="Q322" s="305">
        <f>HLOOKUP(Stats!$B$2,Races!$AK$4:$EH$50,Races!EH45,0)</f>
        <v>0</v>
      </c>
      <c r="R322" s="80" t="s">
        <v>714</v>
      </c>
      <c r="T322" s="308" t="str">
        <f>HLOOKUP(Stats!$B$2,Taulukko16[[Dragonborn]:[Hakua varten]],11,0)</f>
        <v>Flail</v>
      </c>
      <c r="Y322" s="80">
        <v>320</v>
      </c>
    </row>
    <row r="323" spans="1:25" ht="12.75" customHeight="1" x14ac:dyDescent="0.2">
      <c r="A323" s="148"/>
      <c r="B323" s="309" t="s">
        <v>712</v>
      </c>
      <c r="C323" s="111" t="str">
        <f>HLOOKUP(Stats!$B$5,Professions!$E$2:$DD$57,52,0)</f>
        <v>20</v>
      </c>
      <c r="D323" s="111" t="str">
        <f>IF(Stats!$B$6="","",HLOOKUP(Stats!$B$6,Professions!$E$2:$DD$57,52,0))</f>
        <v>2/7</v>
      </c>
      <c r="E323" s="111"/>
      <c r="F323" s="111">
        <f>VLOOKUP(E323,Professions!$DQ$1:$DX$203,3)</f>
        <v>-15</v>
      </c>
      <c r="G323" s="111" t="s">
        <v>384</v>
      </c>
      <c r="H323" s="111">
        <f>Stats!$I$18</f>
        <v>9</v>
      </c>
      <c r="I323" s="111"/>
      <c r="J323" s="111"/>
      <c r="K323" s="197">
        <f>F323+H323+I323+J323+$K$320+0.00009</f>
        <v>4.9900900000000004</v>
      </c>
      <c r="M323" s="304"/>
      <c r="O323" s="80">
        <f t="shared" si="35"/>
        <v>0</v>
      </c>
      <c r="P323" s="115"/>
      <c r="Q323" s="305"/>
      <c r="T323" s="308" t="str">
        <f>HLOOKUP(Stats!$B$2,Taulukko16[[Dragonborn]:[Hakua varten]],12,0)</f>
        <v>Quarterstaff</v>
      </c>
      <c r="Y323" s="80">
        <v>321</v>
      </c>
    </row>
    <row r="324" spans="1:25" ht="12.75" customHeight="1" x14ac:dyDescent="0.2">
      <c r="A324" s="244" t="s">
        <v>715</v>
      </c>
      <c r="B324" s="204"/>
      <c r="C324" s="226" t="str">
        <f>HLOOKUP(Stats!$B$5,Professions!$E$2:$DD$57,53,0)</f>
        <v>20</v>
      </c>
      <c r="D324" s="226" t="str">
        <f>IF(Stats!$B$6="","",HLOOKUP(Stats!$B$6,Professions!$E$2:$DD$57,53,0))</f>
        <v>2/7</v>
      </c>
      <c r="E324" s="302"/>
      <c r="F324" s="302">
        <f>VLOOKUP(E324,Professions!$DQ$1:$DX$203,2)</f>
        <v>-15</v>
      </c>
      <c r="G324" s="302" t="s">
        <v>387</v>
      </c>
      <c r="H324" s="302">
        <f>Stats!$I$18+Stats!$I$14</f>
        <v>16</v>
      </c>
      <c r="I324" s="303">
        <f>IF(Stats!$M$4="",HLOOKUP(Stats!$B$5,Professions!$F$59:$DD$114,Professions!$DF$54,0),((HLOOKUP(Stats!$B$5,Professions!$F$59:$DD$114,Professions!$DF$54,0)+HLOOKUP(Stats!$B$6,Professions!$F$59:$DD$114,Professions!$DF$54,0))/2-0.01))</f>
        <v>9.99</v>
      </c>
      <c r="J324" s="302"/>
      <c r="K324" s="303">
        <f>F324+H324+I324+J324</f>
        <v>10.99</v>
      </c>
      <c r="M324" s="304"/>
      <c r="O324" s="80">
        <f t="shared" si="35"/>
        <v>0</v>
      </c>
      <c r="P324" s="115"/>
      <c r="Q324" s="305">
        <f>HLOOKUP(Stats!$B$2,Races!$AK$4:$EH$50,Races!EH46,0)</f>
        <v>0</v>
      </c>
      <c r="R324" s="79" t="s">
        <v>716</v>
      </c>
      <c r="S324" s="79"/>
      <c r="T324" s="308" t="str">
        <f>HLOOKUP(Stats!$B$2,Taulukko16[[Dragonborn]:[Hakua varten]],13,0)</f>
        <v>Two-handed Sword</v>
      </c>
      <c r="Y324" s="80">
        <v>322</v>
      </c>
    </row>
    <row r="325" spans="1:25" ht="12.75" customHeight="1" x14ac:dyDescent="0.2">
      <c r="A325" s="179"/>
      <c r="B325" s="257" t="s">
        <v>717</v>
      </c>
      <c r="C325" s="111" t="str">
        <f>HLOOKUP(Stats!$B$5,Professions!$E$2:$DD$57,53,0)</f>
        <v>20</v>
      </c>
      <c r="D325" s="111" t="str">
        <f>IF(Stats!$B$6="","",HLOOKUP(Stats!$B$6,Professions!$E$2:$DD$57,53,0))</f>
        <v>2/7</v>
      </c>
      <c r="E325" s="111"/>
      <c r="F325" s="111">
        <f>VLOOKUP(E325,Professions!$DQ$1:$DX$203,3)</f>
        <v>-15</v>
      </c>
      <c r="G325" s="111" t="s">
        <v>389</v>
      </c>
      <c r="H325" s="111">
        <f>Stats!$I$14</f>
        <v>7</v>
      </c>
      <c r="I325" s="111"/>
      <c r="J325" s="111"/>
      <c r="K325" s="197">
        <f>F325+H325+I325+J325+$K$324+0.0001</f>
        <v>2.9901000000000004</v>
      </c>
      <c r="M325" s="304"/>
      <c r="O325" s="80">
        <f t="shared" si="35"/>
        <v>0</v>
      </c>
      <c r="P325" s="115"/>
      <c r="Q325" s="305">
        <f>HLOOKUP(Stats!$B$2,Races!$AK$4:$EH$50,Races!EH47,0)</f>
        <v>0</v>
      </c>
      <c r="R325" s="80" t="s">
        <v>718</v>
      </c>
      <c r="T325" s="308" t="str">
        <f>HLOOKUP(Stats!$B$2,Taulukko16[[Dragonborn]:[Hakua varten]],14,0)</f>
        <v>Lance</v>
      </c>
      <c r="Y325" s="80">
        <v>323</v>
      </c>
    </row>
    <row r="326" spans="1:25" ht="12.75" customHeight="1" x14ac:dyDescent="0.2">
      <c r="A326" s="111"/>
      <c r="B326" s="246" t="s">
        <v>717</v>
      </c>
      <c r="C326" s="111" t="str">
        <f>HLOOKUP(Stats!$B$5,Professions!$E$2:$DD$57,53,0)</f>
        <v>20</v>
      </c>
      <c r="D326" s="111" t="str">
        <f>IF(Stats!$B$6="","",HLOOKUP(Stats!$B$6,Professions!$E$2:$DD$57,53,0))</f>
        <v>2/7</v>
      </c>
      <c r="E326" s="111"/>
      <c r="F326" s="111">
        <f>VLOOKUP(E326,Professions!$DQ$1:$DX$203,3)</f>
        <v>-15</v>
      </c>
      <c r="G326" s="111" t="s">
        <v>389</v>
      </c>
      <c r="H326" s="111">
        <f>Stats!$I$14</f>
        <v>7</v>
      </c>
      <c r="I326" s="111"/>
      <c r="J326" s="111"/>
      <c r="K326" s="197">
        <f>F326+H326+I326+J326+$K$324+0.00011</f>
        <v>2.99011</v>
      </c>
      <c r="M326" s="304"/>
      <c r="O326" s="80">
        <f t="shared" si="35"/>
        <v>0</v>
      </c>
      <c r="P326" s="115"/>
      <c r="Q326" s="305"/>
      <c r="T326" s="308" t="str">
        <f>HLOOKUP(Stats!$B$2,Taulukko16[[Dragonborn]:[Hakua varten]],15,0)</f>
        <v>Spear</v>
      </c>
      <c r="Y326" s="80">
        <v>324</v>
      </c>
    </row>
    <row r="327" spans="1:25" ht="12.75" customHeight="1" x14ac:dyDescent="0.2">
      <c r="A327" s="148"/>
      <c r="B327" s="309" t="s">
        <v>717</v>
      </c>
      <c r="C327" s="111" t="str">
        <f>HLOOKUP(Stats!$B$5,Professions!$E$2:$DD$57,53,0)</f>
        <v>20</v>
      </c>
      <c r="D327" s="111" t="str">
        <f>IF(Stats!$B$6="","",HLOOKUP(Stats!$B$6,Professions!$E$2:$DD$57,53,0))</f>
        <v>2/7</v>
      </c>
      <c r="E327" s="111"/>
      <c r="F327" s="111">
        <f>VLOOKUP(E327,Professions!$DQ$1:$DX$203,3)</f>
        <v>-15</v>
      </c>
      <c r="G327" s="111" t="s">
        <v>389</v>
      </c>
      <c r="H327" s="111">
        <f>Stats!$I$14</f>
        <v>7</v>
      </c>
      <c r="I327" s="111"/>
      <c r="J327" s="111"/>
      <c r="K327" s="197">
        <f>F327+H327+I327+J327+$K$324+0.00012</f>
        <v>2.9901200000000001</v>
      </c>
      <c r="M327" s="304"/>
      <c r="O327" s="80">
        <f t="shared" si="35"/>
        <v>0</v>
      </c>
      <c r="P327" s="115"/>
      <c r="Q327" s="305">
        <f>HLOOKUP(Stats!$B$2,Races!$AK$4:$EH$50,Races!EH48,0)</f>
        <v>0</v>
      </c>
      <c r="R327" s="79" t="s">
        <v>719</v>
      </c>
      <c r="S327" s="79"/>
      <c r="T327" s="308" t="str">
        <f>HLOOKUP(Stats!$B$2,Taulukko16[[Dragonborn]:[Hakua varten]],16,0)</f>
        <v>Falchion</v>
      </c>
      <c r="Y327" s="80">
        <v>325</v>
      </c>
    </row>
    <row r="328" spans="1:25" ht="12.75" customHeight="1" x14ac:dyDescent="0.2">
      <c r="A328" s="244" t="s">
        <v>720</v>
      </c>
      <c r="B328" s="204"/>
      <c r="C328" s="226" t="str">
        <f>HLOOKUP(Stats!$B$5,Professions!$E$2:$DD$57,54,0)</f>
        <v>20</v>
      </c>
      <c r="D328" s="226" t="str">
        <f>IF(Stats!$B$6="","",HLOOKUP(Stats!$B$6,Professions!$E$2:$DD$57,54,0))</f>
        <v>2/7</v>
      </c>
      <c r="E328" s="302"/>
      <c r="F328" s="302">
        <f>VLOOKUP(E328,Professions!$DQ$1:$DX$203,2)</f>
        <v>-15</v>
      </c>
      <c r="G328" s="302" t="s">
        <v>645</v>
      </c>
      <c r="H328" s="302">
        <f>Stats!I14+Stats!I22</f>
        <v>17</v>
      </c>
      <c r="I328" s="303">
        <f>IF(Stats!$M$4="",HLOOKUP(Stats!$B$5,Professions!$F$59:$DD$114,Professions!$DF$55,0),((HLOOKUP(Stats!$B$5,Professions!$F$59:$DD$114,Professions!$DF$55,0)+HLOOKUP(Stats!$B$6,Professions!$F$59:$DD$114,Professions!$DF$55,0))/2-0.01))</f>
        <v>9.99</v>
      </c>
      <c r="J328" s="302"/>
      <c r="K328" s="303">
        <f>F328+H328+I328+J328</f>
        <v>11.99</v>
      </c>
      <c r="M328" s="304"/>
      <c r="O328" s="80">
        <f t="shared" si="35"/>
        <v>0</v>
      </c>
      <c r="P328" s="115"/>
      <c r="Q328" s="305">
        <f>HLOOKUP(Stats!$B$2,Races!$AK$4:$EH$50,Races!EH49,0)</f>
        <v>0</v>
      </c>
      <c r="R328" s="80" t="s">
        <v>721</v>
      </c>
      <c r="T328" s="308" t="str">
        <f>HLOOKUP(Stats!$B$2,Taulukko16[[Dragonborn]:[Hakua varten]],17,0)</f>
        <v>Main Gauche</v>
      </c>
      <c r="Y328" s="80">
        <v>326</v>
      </c>
    </row>
    <row r="329" spans="1:25" ht="12.75" customHeight="1" x14ac:dyDescent="0.2">
      <c r="A329" s="175"/>
      <c r="B329" s="308" t="s">
        <v>722</v>
      </c>
      <c r="C329" s="111" t="str">
        <f>HLOOKUP(Stats!$B$5,Professions!$E$2:$DD$57,54,0)</f>
        <v>20</v>
      </c>
      <c r="D329" s="111" t="str">
        <f>IF(Stats!$B$6="","",HLOOKUP(Stats!$B$6,Professions!$E$2:$DD$57,54,0))</f>
        <v>2/7</v>
      </c>
      <c r="E329" s="111"/>
      <c r="F329" s="111">
        <f>VLOOKUP(E329,Professions!$DQ$1:$DX$203,3)</f>
        <v>-15</v>
      </c>
      <c r="G329" s="111" t="s">
        <v>413</v>
      </c>
      <c r="H329" s="111">
        <f>Stats!$I$17</f>
        <v>0</v>
      </c>
      <c r="I329" s="111"/>
      <c r="J329" s="111"/>
      <c r="K329" s="197">
        <f>F329+H329+I329+J329+$K$328+0.00013</f>
        <v>-3.0098699999999998</v>
      </c>
      <c r="M329" s="304"/>
      <c r="O329" s="80">
        <f t="shared" si="35"/>
        <v>0</v>
      </c>
      <c r="P329" s="115"/>
      <c r="Q329" s="305"/>
      <c r="T329" s="308" t="str">
        <f>HLOOKUP(Stats!$B$2,Taulukko16[[Dragonborn]:[Hakua varten]],18,0)</f>
        <v>Rapier</v>
      </c>
      <c r="Y329" s="80">
        <v>327</v>
      </c>
    </row>
    <row r="330" spans="1:25" ht="12.75" customHeight="1" x14ac:dyDescent="0.2">
      <c r="A330" s="244" t="s">
        <v>723</v>
      </c>
      <c r="B330" s="204"/>
      <c r="C330" s="226" t="str">
        <f>HLOOKUP(Stats!$B$5,Professions!$E$2:$DD$57,55,0)</f>
        <v>20</v>
      </c>
      <c r="D330" s="226" t="str">
        <f>IF(Stats!$B$6="","",HLOOKUP(Stats!$B$6,Professions!$E$2:$DD$57,55,0))</f>
        <v>5</v>
      </c>
      <c r="E330" s="302"/>
      <c r="F330" s="302">
        <f>VLOOKUP(E330,Professions!$DQ$1:$DX$203,2)</f>
        <v>-15</v>
      </c>
      <c r="G330" s="302" t="s">
        <v>381</v>
      </c>
      <c r="H330" s="302">
        <f>Stats!$I$18+Stats!$I$14</f>
        <v>16</v>
      </c>
      <c r="I330" s="303">
        <f>IF(Stats!$M$4="",HLOOKUP(Stats!$B$5,Professions!$F$59:$DD$114,Professions!$DF$56,0),((HLOOKUP(Stats!$B$5,Professions!$F$59:$DD$114,Professions!$DF$56,0)+HLOOKUP(Stats!$B$6,Professions!$F$59:$DD$114,Professions!$DF$56,0))/2-0.01))</f>
        <v>9.99</v>
      </c>
      <c r="J330" s="302"/>
      <c r="K330" s="303">
        <f>F330+H330+I330+J330</f>
        <v>10.99</v>
      </c>
      <c r="M330" s="304"/>
      <c r="O330" s="80">
        <f t="shared" si="35"/>
        <v>0</v>
      </c>
      <c r="P330" s="115"/>
      <c r="Q330" s="305"/>
      <c r="T330" s="308" t="str">
        <f>HLOOKUP(Stats!$B$2,Taulukko16[[Dragonborn]:[Hakua varten]],19,0)</f>
        <v>Heavy Crossbow</v>
      </c>
      <c r="Y330" s="80">
        <v>328</v>
      </c>
    </row>
    <row r="331" spans="1:25" ht="12.75" customHeight="1" x14ac:dyDescent="0.2">
      <c r="A331" s="179"/>
      <c r="B331" s="257" t="s">
        <v>724</v>
      </c>
      <c r="C331" s="111" t="str">
        <f>HLOOKUP(Stats!$B$5,Professions!$E$2:$DD$57,55,0)</f>
        <v>20</v>
      </c>
      <c r="D331" s="111" t="str">
        <f>IF(Stats!$B$6="","",HLOOKUP(Stats!$B$6,Professions!$E$2:$DD$57,55,0))</f>
        <v>5</v>
      </c>
      <c r="E331" s="111"/>
      <c r="F331" s="111">
        <f>VLOOKUP(E331,Professions!$DQ$1:$DX$203,3)</f>
        <v>-15</v>
      </c>
      <c r="G331" s="111" t="s">
        <v>384</v>
      </c>
      <c r="H331" s="111">
        <f>Stats!$I$18</f>
        <v>9</v>
      </c>
      <c r="I331" s="111"/>
      <c r="J331" s="111"/>
      <c r="K331" s="197">
        <f>F331+H331+I331+J331+$K$330+0.00014</f>
        <v>4.9901400000000002</v>
      </c>
      <c r="M331" s="304"/>
      <c r="O331" s="80">
        <f t="shared" si="35"/>
        <v>0</v>
      </c>
      <c r="P331" s="115"/>
      <c r="Q331" s="305"/>
      <c r="T331" s="308" t="str">
        <f>HLOOKUP(Stats!$B$2,Taulukko16[[Dragonborn]:[Hakua varten]],20,0)</f>
        <v>War Mattock</v>
      </c>
      <c r="Y331" s="80">
        <v>329</v>
      </c>
    </row>
    <row r="332" spans="1:25" ht="12.75" customHeight="1" x14ac:dyDescent="0.2">
      <c r="A332" s="111"/>
      <c r="B332" s="246" t="s">
        <v>724</v>
      </c>
      <c r="C332" s="111" t="str">
        <f>HLOOKUP(Stats!$B$5,Professions!$E$2:$DD$57,55,0)</f>
        <v>20</v>
      </c>
      <c r="D332" s="111" t="str">
        <f>IF(Stats!$B$6="","",HLOOKUP(Stats!$B$6,Professions!$E$2:$DD$57,55,0))</f>
        <v>5</v>
      </c>
      <c r="E332" s="111"/>
      <c r="F332" s="111">
        <f>VLOOKUP(E332,Professions!$DQ$1:$DX$203,3)</f>
        <v>-15</v>
      </c>
      <c r="G332" s="111" t="s">
        <v>384</v>
      </c>
      <c r="H332" s="111">
        <f>Stats!$I$18</f>
        <v>9</v>
      </c>
      <c r="I332" s="111"/>
      <c r="J332" s="111"/>
      <c r="K332" s="197">
        <f>F332+H332+I332+J332+$K$330+0.00015</f>
        <v>4.9901499999999999</v>
      </c>
      <c r="M332" s="304"/>
      <c r="O332" s="80">
        <f t="shared" si="35"/>
        <v>0</v>
      </c>
      <c r="P332" s="115"/>
      <c r="Q332" s="305"/>
      <c r="T332" s="308" t="str">
        <f>HLOOKUP(Stats!$B$2,Taulukko16[[Dragonborn]:[Hakua varten]],21,0)</f>
        <v>Bastard Sword</v>
      </c>
      <c r="Y332" s="80">
        <v>330</v>
      </c>
    </row>
    <row r="333" spans="1:25" ht="12.75" customHeight="1" x14ac:dyDescent="0.2">
      <c r="A333" s="148"/>
      <c r="B333" s="309" t="s">
        <v>724</v>
      </c>
      <c r="C333" s="111" t="str">
        <f>HLOOKUP(Stats!$B$5,Professions!$E$2:$DD$57,55,0)</f>
        <v>20</v>
      </c>
      <c r="D333" s="111" t="str">
        <f>IF(Stats!$B$6="","",HLOOKUP(Stats!$B$6,Professions!$E$2:$DD$57,55,0))</f>
        <v>5</v>
      </c>
      <c r="E333" s="111"/>
      <c r="F333" s="111">
        <f>VLOOKUP(E333,Professions!$DQ$1:$DX$203,3)</f>
        <v>-15</v>
      </c>
      <c r="G333" s="111" t="s">
        <v>384</v>
      </c>
      <c r="H333" s="111">
        <f>Stats!$I$18</f>
        <v>9</v>
      </c>
      <c r="I333" s="111"/>
      <c r="J333" s="111"/>
      <c r="K333" s="197">
        <f>F333+H333+I333+J333+$K$330+0.00016</f>
        <v>4.9901600000000004</v>
      </c>
      <c r="M333" s="304"/>
      <c r="O333" s="80">
        <f t="shared" si="35"/>
        <v>0</v>
      </c>
      <c r="P333" s="115"/>
      <c r="Q333" s="305"/>
      <c r="T333" s="308">
        <f>HLOOKUP(Stats!$B$2,Taulukko16[[Dragonborn]:[Hakua varten]],22,0)</f>
        <v>0</v>
      </c>
      <c r="Y333" s="80">
        <v>331</v>
      </c>
    </row>
    <row r="334" spans="1:25" ht="12.75" customHeight="1" x14ac:dyDescent="0.2">
      <c r="A334" s="244" t="s">
        <v>725</v>
      </c>
      <c r="B334" s="204"/>
      <c r="C334" s="226" t="str">
        <f>HLOOKUP(Stats!$B$5,Professions!$E$2:$DD$57,56,0)</f>
        <v>20</v>
      </c>
      <c r="D334" s="226" t="str">
        <f>IF(Stats!$B$6="","",HLOOKUP(Stats!$B$6,Professions!$E$2:$DD$57,56,0))</f>
        <v>5</v>
      </c>
      <c r="E334" s="302"/>
      <c r="F334" s="302">
        <f>VLOOKUP(E334,Professions!$DQ$1:$DX$203,2)</f>
        <v>-15</v>
      </c>
      <c r="G334" s="302" t="s">
        <v>387</v>
      </c>
      <c r="H334" s="302">
        <f>Stats!$I$18+Stats!$I$14</f>
        <v>16</v>
      </c>
      <c r="I334" s="303">
        <f>IF(Stats!$M$4="",HLOOKUP(Stats!$B$5,Professions!$F$59:$DD$114,Professions!$DF$57,0),((HLOOKUP(Stats!$B$5,Professions!$F$59:$DD$114,Professions!$DF$57,0)+HLOOKUP(Stats!$B$6,Professions!$F$59:$DD$114,Professions!$DF$57,0))/2-0.01))</f>
        <v>9.99</v>
      </c>
      <c r="J334" s="302"/>
      <c r="K334" s="303">
        <f>F334+H334+I334+J334</f>
        <v>10.99</v>
      </c>
      <c r="M334" s="304"/>
      <c r="O334" s="80">
        <f t="shared" si="35"/>
        <v>0</v>
      </c>
      <c r="P334" s="115"/>
      <c r="Q334" s="305"/>
      <c r="T334" s="308">
        <f>HLOOKUP(Stats!$B$2,Taulukko16[[Dragonborn]:[Hakua varten]],23,0)</f>
        <v>0</v>
      </c>
      <c r="Y334" s="80">
        <v>332</v>
      </c>
    </row>
    <row r="335" spans="1:25" ht="12.75" customHeight="1" x14ac:dyDescent="0.2">
      <c r="A335" s="179"/>
      <c r="B335" s="257" t="s">
        <v>726</v>
      </c>
      <c r="C335" s="111" t="str">
        <f>HLOOKUP(Stats!$B$5,Professions!$E$2:$DD$57,56,0)</f>
        <v>20</v>
      </c>
      <c r="D335" s="111" t="str">
        <f>IF(Stats!$B$6="","",HLOOKUP(Stats!$B$6,Professions!$E$2:$DD$57,56,0))</f>
        <v>5</v>
      </c>
      <c r="E335" s="111"/>
      <c r="F335" s="111">
        <f>VLOOKUP(E335,Professions!$DQ$1:$DX$203,3)</f>
        <v>-15</v>
      </c>
      <c r="G335" s="111" t="s">
        <v>389</v>
      </c>
      <c r="H335" s="111">
        <f>Stats!$I$14</f>
        <v>7</v>
      </c>
      <c r="I335" s="111"/>
      <c r="J335" s="111"/>
      <c r="K335" s="197">
        <f>F335+H335+I335+J335+$K$334+0.00017</f>
        <v>2.99017</v>
      </c>
      <c r="M335" s="304"/>
      <c r="O335" s="80">
        <f t="shared" si="35"/>
        <v>0</v>
      </c>
      <c r="P335" s="115"/>
      <c r="Q335" s="305"/>
      <c r="T335" s="308">
        <f>HLOOKUP(Stats!$B$2,Taulukko16[[Dragonborn]:[Hakua varten]],24,0)</f>
        <v>0</v>
      </c>
      <c r="Y335" s="80">
        <v>333</v>
      </c>
    </row>
    <row r="336" spans="1:25" ht="12.75" customHeight="1" x14ac:dyDescent="0.2">
      <c r="A336" s="148"/>
      <c r="B336" s="309" t="s">
        <v>726</v>
      </c>
      <c r="C336" s="111" t="str">
        <f>HLOOKUP(Stats!$B$5,Professions!$E$2:$DD$57,56,0)</f>
        <v>20</v>
      </c>
      <c r="D336" s="111" t="str">
        <f>IF(Stats!$B$6="","",HLOOKUP(Stats!$B$6,Professions!$E$2:$DD$57,56,0))</f>
        <v>5</v>
      </c>
      <c r="E336" s="111"/>
      <c r="F336" s="111">
        <f>VLOOKUP(E336,Professions!$DQ$1:$DX$203,3)</f>
        <v>-15</v>
      </c>
      <c r="G336" s="111" t="s">
        <v>389</v>
      </c>
      <c r="H336" s="111">
        <f>Stats!$I$14</f>
        <v>7</v>
      </c>
      <c r="I336" s="111"/>
      <c r="J336" s="111"/>
      <c r="K336" s="197">
        <f>F336+H336+I336+J336+$K$334+0.00018</f>
        <v>2.9901800000000001</v>
      </c>
      <c r="M336" s="304"/>
      <c r="O336" s="80">
        <f t="shared" si="35"/>
        <v>0</v>
      </c>
      <c r="P336" s="115"/>
      <c r="Q336" s="305"/>
      <c r="T336" s="308">
        <f>HLOOKUP(Stats!$B$2,Taulukko16[[Dragonborn]:[Hakua varten]],25,0)</f>
        <v>0</v>
      </c>
      <c r="Y336" s="80">
        <v>334</v>
      </c>
    </row>
    <row r="337" spans="1:25" ht="12.75" customHeight="1" x14ac:dyDescent="0.2">
      <c r="A337" s="269"/>
      <c r="B337" s="312" t="s">
        <v>726</v>
      </c>
      <c r="C337" s="250" t="str">
        <f>HLOOKUP(Stats!$B$5,Professions!$E$2:$DD$57,56,0)</f>
        <v>20</v>
      </c>
      <c r="D337" s="111" t="str">
        <f>IF(Stats!$B$6="","",HLOOKUP(Stats!$B$6,Professions!$E$2:$DD$57,56,0))</f>
        <v>5</v>
      </c>
      <c r="E337" s="111"/>
      <c r="F337" s="111">
        <f>VLOOKUP(E337,Professions!$DQ$1:$DX$203,3)</f>
        <v>-15</v>
      </c>
      <c r="G337" s="111" t="s">
        <v>389</v>
      </c>
      <c r="H337" s="111">
        <f>Stats!$I$14</f>
        <v>7</v>
      </c>
      <c r="I337" s="111"/>
      <c r="J337" s="111"/>
      <c r="K337" s="197">
        <f>F337+H337+I337+J337+$K$334+0.00019</f>
        <v>2.9901900000000001</v>
      </c>
      <c r="M337" s="304"/>
      <c r="O337" s="80">
        <f t="shared" si="35"/>
        <v>0</v>
      </c>
      <c r="P337" s="115"/>
      <c r="Q337" s="305"/>
      <c r="T337" s="308">
        <f>HLOOKUP(Stats!$B$2,Taulukko16[[Dragonborn]:[Hakua varten]],26,0)</f>
        <v>0</v>
      </c>
      <c r="Y337" s="80">
        <v>335</v>
      </c>
    </row>
    <row r="338" spans="1:25" ht="12.75" customHeight="1" x14ac:dyDescent="0.2">
      <c r="A338" s="423" t="s">
        <v>366</v>
      </c>
      <c r="B338" s="423"/>
      <c r="C338" s="106" t="s">
        <v>4015</v>
      </c>
      <c r="D338" s="106" t="s">
        <v>4016</v>
      </c>
      <c r="E338" s="106" t="s">
        <v>367</v>
      </c>
      <c r="F338" s="106" t="s">
        <v>368</v>
      </c>
      <c r="G338" s="106" t="s">
        <v>369</v>
      </c>
      <c r="H338" s="292" t="s">
        <v>370</v>
      </c>
      <c r="I338" s="106" t="s">
        <v>371</v>
      </c>
      <c r="J338" s="293" t="s">
        <v>205</v>
      </c>
      <c r="K338" s="293" t="s">
        <v>207</v>
      </c>
      <c r="M338" s="304"/>
      <c r="O338" s="80" t="s">
        <v>367</v>
      </c>
      <c r="P338" s="115"/>
      <c r="Q338" s="305"/>
      <c r="S338" s="135"/>
      <c r="T338" s="135"/>
      <c r="Y338" s="80">
        <v>336</v>
      </c>
    </row>
    <row r="339" spans="1:25" ht="12.75" customHeight="1" x14ac:dyDescent="0.2">
      <c r="A339" s="244" t="s">
        <v>4933</v>
      </c>
      <c r="B339" s="204"/>
      <c r="C339" s="138" t="str">
        <f>Stats!B5</f>
        <v>Sorcerer</v>
      </c>
      <c r="D339" s="226"/>
      <c r="E339" s="302"/>
      <c r="F339" s="302"/>
      <c r="G339" s="302" t="str">
        <f>Stats!$C$39</f>
        <v>Ess/Chan</v>
      </c>
      <c r="H339" s="303">
        <f>VLOOKUP(Stats!$C$39,Professions!$E$120:$F$127,2,0)</f>
        <v>7.5</v>
      </c>
      <c r="I339" s="303">
        <f>IF(Stats!$M$4="",HLOOKUP(Stats!$B$5,Professions!$F$59:$DD$114,Professions!$DF$43,0),((HLOOKUP(Stats!$B$5,Professions!$F$59:$DD$114,Professions!$DF$43,0)+HLOOKUP(Stats!$B$6,Professions!$F$59:$DD$114,Professions!$DF$43,0))/2-0.01))</f>
        <v>2.4900000000000002</v>
      </c>
      <c r="J339" s="302"/>
      <c r="K339" s="303">
        <f>F339+H339+I339+J339</f>
        <v>9.99</v>
      </c>
      <c r="M339" s="304"/>
      <c r="O339" s="80">
        <f t="shared" ref="O339:O377" si="36">E339+M339</f>
        <v>0</v>
      </c>
      <c r="P339" s="115"/>
      <c r="Q339" s="305"/>
      <c r="Y339" s="80">
        <v>337</v>
      </c>
    </row>
    <row r="340" spans="1:25" ht="12.75" customHeight="1" x14ac:dyDescent="0.2">
      <c r="A340" s="179"/>
      <c r="B340" s="334" t="str">
        <f>HLOOKUP(Stats!$B$5,Professions!$F$129:$DD$135,Professions!$DF$130,0)</f>
        <v>Flesh Destruction</v>
      </c>
      <c r="C340" s="111" t="str">
        <f>HLOOKUP(Stats!$B$5,Professions!$E$2:$DD$57,42,0)</f>
        <v>3/3/3</v>
      </c>
      <c r="D340" s="340" t="s">
        <v>747</v>
      </c>
      <c r="E340" s="111"/>
      <c r="F340" s="111">
        <f>VLOOKUP(E340,Professions!$DQ$1:$DX$203,4)</f>
        <v>0</v>
      </c>
      <c r="G340" s="111"/>
      <c r="H340" s="111"/>
      <c r="I340" s="111"/>
      <c r="J340" s="111"/>
      <c r="K340" s="197">
        <f t="shared" ref="K340:K377" si="37">F340+H340+I340+J340+$K$339</f>
        <v>9.99</v>
      </c>
      <c r="M340" s="304"/>
      <c r="O340" s="80">
        <f t="shared" si="36"/>
        <v>0</v>
      </c>
      <c r="P340" s="115"/>
      <c r="Q340" s="305"/>
      <c r="Y340" s="80">
        <v>338</v>
      </c>
    </row>
    <row r="341" spans="1:25" ht="12.75" customHeight="1" x14ac:dyDescent="0.2">
      <c r="A341" s="111"/>
      <c r="B341" s="110" t="str">
        <f>HLOOKUP(Stats!$B$5,Professions!$F$129:$DD$135,Professions!$DF$131,0)</f>
        <v>Fluid Destruction</v>
      </c>
      <c r="C341" s="111" t="str">
        <f>HLOOKUP(Stats!$B$5,Professions!$E$2:$DD$57,42,0)</f>
        <v>3/3/3</v>
      </c>
      <c r="D341" s="340" t="s">
        <v>747</v>
      </c>
      <c r="E341" s="111"/>
      <c r="F341" s="111">
        <f>VLOOKUP(E341,Professions!$DQ$1:$DX$203,4)</f>
        <v>0</v>
      </c>
      <c r="G341" s="111"/>
      <c r="H341" s="111"/>
      <c r="I341" s="111"/>
      <c r="J341" s="111"/>
      <c r="K341" s="197">
        <f t="shared" si="37"/>
        <v>9.99</v>
      </c>
      <c r="M341" s="304"/>
      <c r="O341" s="80">
        <f t="shared" si="36"/>
        <v>0</v>
      </c>
      <c r="P341" s="115"/>
      <c r="Q341" s="305"/>
      <c r="Y341" s="80">
        <v>339</v>
      </c>
    </row>
    <row r="342" spans="1:25" ht="12.75" customHeight="1" x14ac:dyDescent="0.2">
      <c r="A342" s="111"/>
      <c r="B342" s="110" t="str">
        <f>HLOOKUP(Stats!$B$5,Professions!$F$129:$DD$135,Professions!$DF$132,0)</f>
        <v>Gas Destruction</v>
      </c>
      <c r="C342" s="111" t="str">
        <f>HLOOKUP(Stats!$B$5,Professions!$E$2:$DD$57,42,0)</f>
        <v>3/3/3</v>
      </c>
      <c r="D342" s="340" t="s">
        <v>747</v>
      </c>
      <c r="E342" s="111"/>
      <c r="F342" s="111">
        <f>VLOOKUP(E342,Professions!$DQ$1:$DX$203,4)</f>
        <v>0</v>
      </c>
      <c r="G342" s="111"/>
      <c r="H342" s="111"/>
      <c r="I342" s="111"/>
      <c r="J342" s="111"/>
      <c r="K342" s="197">
        <f t="shared" si="37"/>
        <v>9.99</v>
      </c>
      <c r="M342" s="304"/>
      <c r="O342" s="80">
        <f t="shared" si="36"/>
        <v>0</v>
      </c>
      <c r="P342" s="115"/>
      <c r="Q342" s="305"/>
      <c r="Y342" s="80">
        <v>340</v>
      </c>
    </row>
    <row r="343" spans="1:25" ht="12.75" customHeight="1" x14ac:dyDescent="0.2">
      <c r="A343" s="111"/>
      <c r="B343" s="110" t="str">
        <f>HLOOKUP(Stats!$B$5,Professions!$F$129:$DD$135,Professions!$DF$133,0)</f>
        <v>Mind Destruction</v>
      </c>
      <c r="C343" s="111" t="str">
        <f>HLOOKUP(Stats!$B$5,Professions!$E$2:$DD$57,42,0)</f>
        <v>3/3/3</v>
      </c>
      <c r="D343" s="340" t="s">
        <v>747</v>
      </c>
      <c r="E343" s="111"/>
      <c r="F343" s="111">
        <f>VLOOKUP(E343,Professions!$DQ$1:$DX$203,4)</f>
        <v>0</v>
      </c>
      <c r="G343" s="111"/>
      <c r="H343" s="111"/>
      <c r="I343" s="111"/>
      <c r="J343" s="111"/>
      <c r="K343" s="197">
        <f t="shared" si="37"/>
        <v>9.99</v>
      </c>
      <c r="M343" s="304"/>
      <c r="O343" s="80">
        <f t="shared" si="36"/>
        <v>0</v>
      </c>
      <c r="P343" s="115"/>
      <c r="Q343" s="305"/>
      <c r="Y343" s="80">
        <v>341</v>
      </c>
    </row>
    <row r="344" spans="1:25" ht="12.75" customHeight="1" x14ac:dyDescent="0.2">
      <c r="A344" s="111"/>
      <c r="B344" s="110" t="str">
        <f>HLOOKUP(Stats!$B$5,Professions!$F$129:$DD$135,Professions!$DF$134,0)</f>
        <v>Solid Destruction</v>
      </c>
      <c r="C344" s="111" t="str">
        <f>HLOOKUP(Stats!$B$5,Professions!$E$2:$DD$57,42,0)</f>
        <v>3/3/3</v>
      </c>
      <c r="D344" s="340" t="s">
        <v>747</v>
      </c>
      <c r="E344" s="111"/>
      <c r="F344" s="111">
        <f>VLOOKUP(E344,Professions!$DQ$1:$DX$203,4)</f>
        <v>0</v>
      </c>
      <c r="G344" s="111"/>
      <c r="H344" s="111"/>
      <c r="I344" s="246"/>
      <c r="J344" s="246"/>
      <c r="K344" s="197">
        <f t="shared" si="37"/>
        <v>9.99</v>
      </c>
      <c r="M344" s="304"/>
      <c r="O344" s="80">
        <f t="shared" si="36"/>
        <v>0</v>
      </c>
      <c r="P344" s="115"/>
      <c r="Q344" s="305"/>
      <c r="Y344" s="80">
        <v>342</v>
      </c>
    </row>
    <row r="345" spans="1:25" ht="12.75" customHeight="1" x14ac:dyDescent="0.2">
      <c r="A345" s="111"/>
      <c r="B345" s="110" t="str">
        <f>HLOOKUP(Stats!$B$5,Professions!$F$129:$DD$135,Professions!$DF$135,0)</f>
        <v>Soul Destruction</v>
      </c>
      <c r="C345" s="111" t="str">
        <f>HLOOKUP(Stats!$B$5,Professions!$E$2:$DD$57,42,0)</f>
        <v>3/3/3</v>
      </c>
      <c r="D345" s="340" t="s">
        <v>747</v>
      </c>
      <c r="E345" s="111"/>
      <c r="F345" s="111">
        <f>VLOOKUP(E345,Professions!$DQ$1:$DX$203,4)</f>
        <v>0</v>
      </c>
      <c r="G345" s="111"/>
      <c r="H345" s="111"/>
      <c r="I345" s="111"/>
      <c r="J345" s="111"/>
      <c r="K345" s="197">
        <f t="shared" si="37"/>
        <v>9.99</v>
      </c>
      <c r="M345" s="304"/>
      <c r="O345" s="80">
        <f t="shared" si="36"/>
        <v>0</v>
      </c>
      <c r="P345" s="115"/>
      <c r="Q345" s="305"/>
      <c r="Y345" s="80">
        <v>343</v>
      </c>
    </row>
    <row r="346" spans="1:25" ht="12.75" customHeight="1" x14ac:dyDescent="0.2">
      <c r="A346" s="244" t="s">
        <v>4933</v>
      </c>
      <c r="B346" s="204"/>
      <c r="C346" s="138" t="str">
        <f>Stats!B6</f>
        <v>Fighter</v>
      </c>
      <c r="D346" s="168"/>
      <c r="E346" s="302"/>
      <c r="F346" s="302"/>
      <c r="G346" s="302" t="str">
        <f>Stats!$D$39</f>
        <v>???</v>
      </c>
      <c r="H346" s="303" t="str">
        <f>VLOOKUP(Stats!$D$39,Professions!$E$120:$F$127,2,0)</f>
        <v>Realm Stat Bonus</v>
      </c>
      <c r="I346" s="303">
        <f>IF(Stats!$M$4="",HLOOKUP(Stats!$B$5,Professions!$F$59:$DD$114,Professions!$DF$43,0),((HLOOKUP(Stats!$B$5,Professions!$F$59:$DD$114,Professions!$DF$43,0)+HLOOKUP(Stats!$B$6,Professions!$F$59:$DD$114,Professions!$DF$43,0))/2-0.01))</f>
        <v>2.4900000000000002</v>
      </c>
      <c r="J346" s="302"/>
      <c r="K346" s="303" t="e">
        <f>F346+H346+I346+J346</f>
        <v>#VALUE!</v>
      </c>
      <c r="M346" s="304"/>
      <c r="P346" s="115"/>
      <c r="Q346" s="305"/>
    </row>
    <row r="347" spans="1:25" ht="12.75" customHeight="1" x14ac:dyDescent="0.2">
      <c r="A347" s="111"/>
      <c r="B347" s="334" t="str">
        <f>HLOOKUP(Stats!$B$6,Professions!$F$129:$DD$135,Professions!$DF$130,0)</f>
        <v>Base List</v>
      </c>
      <c r="C347" s="111" t="str">
        <f>IF(Stats!$B$6="","",HLOOKUP(Stats!$B$6,Professions!$E$2:$DD$57,42,0))</f>
        <v>N/A</v>
      </c>
      <c r="D347" s="340" t="s">
        <v>747</v>
      </c>
      <c r="E347" s="111"/>
      <c r="F347" s="111">
        <f>VLOOKUP(E347,Professions!$DQ$1:$DX$203,4)</f>
        <v>0</v>
      </c>
      <c r="G347" s="111"/>
      <c r="H347" s="111"/>
      <c r="I347" s="111"/>
      <c r="J347" s="111"/>
      <c r="K347" s="197">
        <f t="shared" si="37"/>
        <v>9.99</v>
      </c>
      <c r="M347" s="304"/>
      <c r="O347" s="80">
        <f t="shared" si="36"/>
        <v>0</v>
      </c>
      <c r="P347" s="115"/>
      <c r="Q347" s="305"/>
      <c r="Y347" s="80">
        <v>344</v>
      </c>
    </row>
    <row r="348" spans="1:25" ht="12.75" customHeight="1" x14ac:dyDescent="0.2">
      <c r="A348" s="111"/>
      <c r="B348" s="110" t="str">
        <f>HLOOKUP(Stats!$B$6,Professions!$F$129:$DD$135,Professions!$DF$131,0)</f>
        <v>Base List</v>
      </c>
      <c r="C348" s="111" t="str">
        <f>IF(Stats!$B$6="","",HLOOKUP(Stats!$B$6,Professions!$E$2:$DD$57,42,0))</f>
        <v>N/A</v>
      </c>
      <c r="D348" s="340" t="s">
        <v>747</v>
      </c>
      <c r="E348" s="111"/>
      <c r="F348" s="111">
        <f>VLOOKUP(E348,Professions!$DQ$1:$DX$203,4)</f>
        <v>0</v>
      </c>
      <c r="G348" s="111"/>
      <c r="H348" s="111"/>
      <c r="I348" s="111"/>
      <c r="J348" s="111"/>
      <c r="K348" s="197">
        <f t="shared" si="37"/>
        <v>9.99</v>
      </c>
      <c r="M348" s="304"/>
      <c r="O348" s="80">
        <f t="shared" si="36"/>
        <v>0</v>
      </c>
      <c r="P348" s="115"/>
      <c r="Q348" s="305"/>
      <c r="Y348" s="80">
        <v>345</v>
      </c>
    </row>
    <row r="349" spans="1:25" ht="12.75" customHeight="1" x14ac:dyDescent="0.2">
      <c r="A349" s="111"/>
      <c r="B349" s="110" t="str">
        <f>HLOOKUP(Stats!$B$6,Professions!$F$129:$DD$135,Professions!$DF$132,0)</f>
        <v>Base List</v>
      </c>
      <c r="C349" s="111" t="str">
        <f>IF(Stats!$B$6="","",HLOOKUP(Stats!$B$6,Professions!$E$2:$DD$57,42,0))</f>
        <v>N/A</v>
      </c>
      <c r="D349" s="340" t="s">
        <v>747</v>
      </c>
      <c r="E349" s="111"/>
      <c r="F349" s="111">
        <f>VLOOKUP(E349,Professions!$DQ$1:$DX$203,4)</f>
        <v>0</v>
      </c>
      <c r="G349" s="111"/>
      <c r="H349" s="111"/>
      <c r="I349" s="111"/>
      <c r="J349" s="111"/>
      <c r="K349" s="197">
        <f t="shared" si="37"/>
        <v>9.99</v>
      </c>
      <c r="M349" s="304"/>
      <c r="O349" s="80">
        <f t="shared" si="36"/>
        <v>0</v>
      </c>
      <c r="P349" s="115"/>
      <c r="Q349" s="305"/>
    </row>
    <row r="350" spans="1:25" ht="12.75" customHeight="1" x14ac:dyDescent="0.2">
      <c r="A350" s="111"/>
      <c r="B350" s="110" t="str">
        <f>HLOOKUP(Stats!$B$6,Professions!$F$129:$DD$135,Professions!$DF$133,0)</f>
        <v>Base List</v>
      </c>
      <c r="C350" s="111" t="str">
        <f>IF(Stats!$B$6="","",HLOOKUP(Stats!$B$6,Professions!$E$2:$DD$57,42,0))</f>
        <v>N/A</v>
      </c>
      <c r="D350" s="340" t="s">
        <v>747</v>
      </c>
      <c r="E350" s="111"/>
      <c r="F350" s="111">
        <f>VLOOKUP(E350,Professions!$DQ$1:$DX$203,4)</f>
        <v>0</v>
      </c>
      <c r="G350" s="111"/>
      <c r="H350" s="111"/>
      <c r="I350" s="111"/>
      <c r="J350" s="111"/>
      <c r="K350" s="197">
        <f t="shared" si="37"/>
        <v>9.99</v>
      </c>
      <c r="M350" s="304"/>
      <c r="O350" s="80">
        <f t="shared" si="36"/>
        <v>0</v>
      </c>
      <c r="P350" s="115"/>
      <c r="Q350" s="305"/>
    </row>
    <row r="351" spans="1:25" ht="12.75" customHeight="1" x14ac:dyDescent="0.2">
      <c r="A351" s="111"/>
      <c r="B351" s="110" t="str">
        <f>HLOOKUP(Stats!$B$6,Professions!$F$129:$DD$135,Professions!$DF$134,0)</f>
        <v>Base List</v>
      </c>
      <c r="C351" s="111" t="str">
        <f>IF(Stats!$B$6="","",HLOOKUP(Stats!$B$6,Professions!$E$2:$DD$57,42,0))</f>
        <v>N/A</v>
      </c>
      <c r="D351" s="340" t="s">
        <v>747</v>
      </c>
      <c r="E351" s="111"/>
      <c r="F351" s="111">
        <f>VLOOKUP(E351,Professions!$DQ$1:$DX$203,4)</f>
        <v>0</v>
      </c>
      <c r="G351" s="111"/>
      <c r="H351" s="111"/>
      <c r="I351" s="111"/>
      <c r="J351" s="111"/>
      <c r="K351" s="197">
        <f t="shared" si="37"/>
        <v>9.99</v>
      </c>
      <c r="M351" s="304"/>
      <c r="O351" s="80">
        <f t="shared" si="36"/>
        <v>0</v>
      </c>
      <c r="P351" s="115"/>
      <c r="Q351" s="305"/>
      <c r="Y351" s="80">
        <v>346</v>
      </c>
    </row>
    <row r="352" spans="1:25" ht="12.75" customHeight="1" x14ac:dyDescent="0.2">
      <c r="A352" s="148"/>
      <c r="B352" s="110" t="str">
        <f>HLOOKUP(Stats!$B$6,Professions!$F$129:$DD$135,Professions!$DF$135,0)</f>
        <v>Base List</v>
      </c>
      <c r="C352" s="111" t="str">
        <f>IF(Stats!$B$6="","",HLOOKUP(Stats!$B$6,Professions!$E$2:$DD$57,42,0))</f>
        <v>N/A</v>
      </c>
      <c r="D352" s="340" t="s">
        <v>747</v>
      </c>
      <c r="E352" s="111"/>
      <c r="F352" s="111">
        <f>VLOOKUP(E352,Professions!$DQ$1:$DX$203,4)</f>
        <v>0</v>
      </c>
      <c r="G352" s="111"/>
      <c r="H352" s="111"/>
      <c r="I352" s="111"/>
      <c r="J352" s="111"/>
      <c r="K352" s="197">
        <f t="shared" si="37"/>
        <v>9.99</v>
      </c>
      <c r="M352" s="304"/>
      <c r="O352" s="80">
        <f t="shared" si="36"/>
        <v>0</v>
      </c>
      <c r="P352" s="115"/>
      <c r="Q352" s="305"/>
      <c r="Y352" s="80">
        <v>347</v>
      </c>
    </row>
    <row r="353" spans="1:25" ht="12.75" customHeight="1" x14ac:dyDescent="0.2">
      <c r="A353" s="244" t="s">
        <v>735</v>
      </c>
      <c r="B353" s="204"/>
      <c r="C353" s="226"/>
      <c r="D353" s="226"/>
      <c r="E353" s="302"/>
      <c r="F353" s="302"/>
      <c r="G353" s="302" t="str">
        <f>Stats!$C$39</f>
        <v>Ess/Chan</v>
      </c>
      <c r="H353" s="303">
        <f>VLOOKUP(Stats!$C$39,Professions!$E$120:$F$127,2,0)</f>
        <v>7.5</v>
      </c>
      <c r="I353" s="303">
        <f>IF(Stats!$M$4="",HLOOKUP(Stats!$B$5,Professions!$F$59:$DD$114,Professions!$DF$42,0),((HLOOKUP(Stats!$B$5,Professions!$F$59:$DD$114,Professions!$DF$42,0)+HLOOKUP(Stats!$B$6,Professions!$F$59:$DD$114,Professions!$DF$42,0))/2-0.01))</f>
        <v>2.4900000000000002</v>
      </c>
      <c r="J353" s="302"/>
      <c r="K353" s="303">
        <f>F353+H353+I353+J353</f>
        <v>9.99</v>
      </c>
      <c r="M353" s="304"/>
      <c r="O353" s="80">
        <f t="shared" si="36"/>
        <v>0</v>
      </c>
      <c r="P353" s="115"/>
      <c r="Q353" s="305"/>
      <c r="Y353" s="80">
        <v>348</v>
      </c>
    </row>
    <row r="354" spans="1:25" ht="12.75" customHeight="1" x14ac:dyDescent="0.2">
      <c r="A354" s="179"/>
      <c r="B354" s="257" t="s">
        <v>4004</v>
      </c>
      <c r="C354" s="111" t="str">
        <f>HLOOKUP(Stats!$B$5,Professions!$E$2:$DD$57,41,0)</f>
        <v>10/10*</v>
      </c>
      <c r="D354" s="111" t="str">
        <f>IF(Stats!$B$6="","",HLOOKUP(Stats!$B$6,Professions!$E$2:$DD$57,41,0))</f>
        <v>80*</v>
      </c>
      <c r="E354" s="111"/>
      <c r="F354" s="111">
        <f>VLOOKUP(E354,Professions!$DQ$1:$DX$203,4)</f>
        <v>0</v>
      </c>
      <c r="G354" s="111"/>
      <c r="H354" s="111"/>
      <c r="I354" s="111"/>
      <c r="J354" s="111"/>
      <c r="K354" s="197">
        <f t="shared" si="37"/>
        <v>9.99</v>
      </c>
      <c r="M354" s="304"/>
      <c r="O354" s="80">
        <f t="shared" si="36"/>
        <v>0</v>
      </c>
      <c r="P354" s="115"/>
      <c r="Q354" s="305"/>
      <c r="Y354" s="80">
        <v>349</v>
      </c>
    </row>
    <row r="355" spans="1:25" ht="12.75" customHeight="1" x14ac:dyDescent="0.2">
      <c r="A355" s="111"/>
      <c r="B355" s="257" t="s">
        <v>4004</v>
      </c>
      <c r="C355" s="111" t="str">
        <f>HLOOKUP(Stats!$B$5,Professions!$E$2:$DD$57,41,0)</f>
        <v>10/10*</v>
      </c>
      <c r="D355" s="111" t="str">
        <f>IF(Stats!$B$6="","",HLOOKUP(Stats!$B$6,Professions!$E$2:$DD$57,41,0))</f>
        <v>80*</v>
      </c>
      <c r="E355" s="111"/>
      <c r="F355" s="111">
        <f>VLOOKUP(E355,Professions!$DQ$1:$DX$203,4)</f>
        <v>0</v>
      </c>
      <c r="G355" s="111"/>
      <c r="H355" s="111"/>
      <c r="I355" s="111"/>
      <c r="J355" s="111"/>
      <c r="K355" s="197">
        <f t="shared" si="37"/>
        <v>9.99</v>
      </c>
      <c r="M355" s="304"/>
      <c r="O355" s="80">
        <f t="shared" si="36"/>
        <v>0</v>
      </c>
      <c r="P355" s="115"/>
      <c r="Q355" s="305"/>
      <c r="Y355" s="80">
        <v>350</v>
      </c>
    </row>
    <row r="356" spans="1:25" ht="12.75" customHeight="1" x14ac:dyDescent="0.2">
      <c r="A356" s="111"/>
      <c r="B356" s="257" t="s">
        <v>4004</v>
      </c>
      <c r="C356" s="111" t="str">
        <f>HLOOKUP(Stats!$B$5,Professions!$E$2:$DD$57,41,0)</f>
        <v>10/10*</v>
      </c>
      <c r="D356" s="111" t="str">
        <f>IF(Stats!$B$6="","",HLOOKUP(Stats!$B$6,Professions!$E$2:$DD$57,41,0))</f>
        <v>80*</v>
      </c>
      <c r="E356" s="111"/>
      <c r="F356" s="111">
        <f>VLOOKUP(E356,Professions!$DQ$1:$DX$203,4)</f>
        <v>0</v>
      </c>
      <c r="G356" s="111"/>
      <c r="H356" s="111"/>
      <c r="I356" s="111"/>
      <c r="J356" s="111"/>
      <c r="K356" s="197">
        <f t="shared" si="37"/>
        <v>9.99</v>
      </c>
      <c r="M356" s="304"/>
      <c r="O356" s="80">
        <f t="shared" si="36"/>
        <v>0</v>
      </c>
      <c r="P356" s="115"/>
      <c r="Q356" s="305"/>
      <c r="Y356" s="80">
        <v>351</v>
      </c>
    </row>
    <row r="357" spans="1:25" ht="12.75" customHeight="1" x14ac:dyDescent="0.2">
      <c r="A357" s="148"/>
      <c r="B357" s="257" t="s">
        <v>4004</v>
      </c>
      <c r="C357" s="111" t="str">
        <f>HLOOKUP(Stats!$B$5,Professions!$E$2:$DD$57,41,0)</f>
        <v>10/10*</v>
      </c>
      <c r="D357" s="111" t="str">
        <f>IF(Stats!$B$6="","",HLOOKUP(Stats!$B$6,Professions!$E$2:$DD$57,41,0))</f>
        <v>80*</v>
      </c>
      <c r="E357" s="111"/>
      <c r="F357" s="111">
        <f>VLOOKUP(E357,Professions!$DQ$1:$DX$203,4)</f>
        <v>0</v>
      </c>
      <c r="G357" s="111"/>
      <c r="H357" s="111"/>
      <c r="I357" s="111"/>
      <c r="J357" s="111"/>
      <c r="K357" s="197">
        <f t="shared" si="37"/>
        <v>9.99</v>
      </c>
      <c r="M357" s="304"/>
      <c r="O357" s="80">
        <f t="shared" si="36"/>
        <v>0</v>
      </c>
      <c r="P357" s="115"/>
      <c r="Q357" s="305"/>
      <c r="Y357" s="80">
        <v>352</v>
      </c>
    </row>
    <row r="358" spans="1:25" ht="12.75" customHeight="1" x14ac:dyDescent="0.2">
      <c r="A358" s="244" t="s">
        <v>736</v>
      </c>
      <c r="B358" s="204"/>
      <c r="C358" s="226"/>
      <c r="D358" s="226"/>
      <c r="E358" s="302"/>
      <c r="F358" s="302"/>
      <c r="G358" s="302" t="str">
        <f>Stats!$C$39</f>
        <v>Ess/Chan</v>
      </c>
      <c r="H358" s="303">
        <f>VLOOKUP(Stats!$C$39,Professions!$E$120:$F$127,2,0)</f>
        <v>7.5</v>
      </c>
      <c r="I358" s="303">
        <f>IF(Stats!$M$4="",HLOOKUP(Stats!$B$5,Professions!$F$59:$DD$114,Professions!$DF$42,0),((HLOOKUP(Stats!$B$5,Professions!$F$59:$DD$114,Professions!$DF$42,0)+HLOOKUP(Stats!$B$6,Professions!$F$59:$DD$114,Professions!$DF$42,0))/2-0.01))</f>
        <v>2.4900000000000002</v>
      </c>
      <c r="J358" s="302"/>
      <c r="K358" s="303">
        <f>F358+H358+I358+J358</f>
        <v>9.99</v>
      </c>
      <c r="M358" s="304"/>
      <c r="O358" s="80">
        <f t="shared" si="36"/>
        <v>0</v>
      </c>
      <c r="P358" s="115"/>
      <c r="Q358" s="305"/>
      <c r="Y358" s="80">
        <v>353</v>
      </c>
    </row>
    <row r="359" spans="1:25" ht="12.75" customHeight="1" x14ac:dyDescent="0.2">
      <c r="A359" s="179"/>
      <c r="B359" s="257" t="s">
        <v>737</v>
      </c>
      <c r="C359" s="111" t="str">
        <f>HLOOKUP(Stats!$B$5,Professions!$E$412:$DD$414,2,0)</f>
        <v>4/4/4*</v>
      </c>
      <c r="D359" s="111" t="str">
        <f>IF(Stats!$B$6="","",HLOOKUP(Stats!$B$6,Professions!$E$412:$DD$414,2,0))</f>
        <v>8/8/8*</v>
      </c>
      <c r="E359" s="111"/>
      <c r="F359" s="111">
        <f>VLOOKUP(E359,Professions!$DQ$1:$DX$203,4)</f>
        <v>0</v>
      </c>
      <c r="G359" s="111"/>
      <c r="H359" s="111"/>
      <c r="I359" s="111"/>
      <c r="J359" s="111"/>
      <c r="K359" s="197">
        <f t="shared" si="37"/>
        <v>9.99</v>
      </c>
      <c r="M359" s="304"/>
      <c r="O359" s="80">
        <f t="shared" si="36"/>
        <v>0</v>
      </c>
      <c r="P359" s="115"/>
      <c r="Q359" s="305"/>
      <c r="Y359" s="80">
        <v>354</v>
      </c>
    </row>
    <row r="360" spans="1:25" ht="12.75" customHeight="1" x14ac:dyDescent="0.2">
      <c r="A360" s="111"/>
      <c r="B360" s="246" t="s">
        <v>737</v>
      </c>
      <c r="C360" s="111" t="str">
        <f>HLOOKUP(Stats!$B$5,Professions!$E$412:$DD$414,2,0)</f>
        <v>4/4/4*</v>
      </c>
      <c r="D360" s="111" t="str">
        <f>IF(Stats!$B$6="","",HLOOKUP(Stats!$B$6,Professions!$E$412:$DD$414,2,0))</f>
        <v>8/8/8*</v>
      </c>
      <c r="E360" s="111"/>
      <c r="F360" s="111">
        <f>VLOOKUP(E360,Professions!$DQ$1:$DX$203,4)</f>
        <v>0</v>
      </c>
      <c r="G360" s="111"/>
      <c r="H360" s="111"/>
      <c r="I360" s="111"/>
      <c r="J360" s="111"/>
      <c r="K360" s="197">
        <f t="shared" si="37"/>
        <v>9.99</v>
      </c>
      <c r="M360" s="304"/>
      <c r="O360" s="80">
        <f t="shared" si="36"/>
        <v>0</v>
      </c>
      <c r="P360" s="115"/>
      <c r="Q360" s="305"/>
      <c r="Y360" s="80">
        <v>355</v>
      </c>
    </row>
    <row r="361" spans="1:25" ht="12.75" customHeight="1" x14ac:dyDescent="0.2">
      <c r="A361" s="111"/>
      <c r="B361" s="246" t="s">
        <v>737</v>
      </c>
      <c r="C361" s="111" t="str">
        <f>HLOOKUP(Stats!$B$5,Professions!$E$412:$DD$414,2,0)</f>
        <v>4/4/4*</v>
      </c>
      <c r="D361" s="111" t="str">
        <f>IF(Stats!$B$6="","",HLOOKUP(Stats!$B$6,Professions!$E$412:$DD$414,2,0))</f>
        <v>8/8/8*</v>
      </c>
      <c r="E361" s="111"/>
      <c r="F361" s="111">
        <f>VLOOKUP(E361,Professions!$DQ$1:$DX$203,4)</f>
        <v>0</v>
      </c>
      <c r="G361" s="111"/>
      <c r="H361" s="111"/>
      <c r="I361" s="111"/>
      <c r="J361" s="111"/>
      <c r="K361" s="197">
        <f t="shared" si="37"/>
        <v>9.99</v>
      </c>
      <c r="M361" s="304"/>
      <c r="O361" s="80">
        <f t="shared" si="36"/>
        <v>0</v>
      </c>
      <c r="P361" s="115"/>
      <c r="Q361" s="305"/>
      <c r="Y361" s="80">
        <v>356</v>
      </c>
    </row>
    <row r="362" spans="1:25" ht="12.75" customHeight="1" x14ac:dyDescent="0.2">
      <c r="A362" s="148"/>
      <c r="B362" s="309" t="s">
        <v>737</v>
      </c>
      <c r="C362" s="111" t="str">
        <f>HLOOKUP(Stats!$B$5,Professions!$E$412:$DD$414,2,0)</f>
        <v>4/4/4*</v>
      </c>
      <c r="D362" s="111" t="str">
        <f>IF(Stats!$B$6="","",HLOOKUP(Stats!$B$6,Professions!$E$412:$DD$414,2,0))</f>
        <v>8/8/8*</v>
      </c>
      <c r="E362" s="111"/>
      <c r="F362" s="111">
        <f>VLOOKUP(E362,Professions!$DQ$1:$DX$203,4)</f>
        <v>0</v>
      </c>
      <c r="G362" s="111"/>
      <c r="H362" s="111"/>
      <c r="I362" s="111"/>
      <c r="J362" s="111"/>
      <c r="K362" s="197">
        <f t="shared" si="37"/>
        <v>9.99</v>
      </c>
      <c r="M362" s="304"/>
      <c r="O362" s="80">
        <f t="shared" si="36"/>
        <v>0</v>
      </c>
      <c r="P362" s="115"/>
      <c r="Q362" s="305"/>
      <c r="Y362" s="80">
        <v>357</v>
      </c>
    </row>
    <row r="363" spans="1:25" ht="12.75" customHeight="1" x14ac:dyDescent="0.2">
      <c r="A363" s="244" t="s">
        <v>738</v>
      </c>
      <c r="B363" s="204"/>
      <c r="C363" s="226"/>
      <c r="D363" s="226"/>
      <c r="E363" s="302"/>
      <c r="F363" s="302"/>
      <c r="G363" s="302" t="str">
        <f>Stats!$C$39</f>
        <v>Ess/Chan</v>
      </c>
      <c r="H363" s="303">
        <f>VLOOKUP(Stats!$C$39,Professions!$E$120:$F$127,2,0)</f>
        <v>7.5</v>
      </c>
      <c r="I363" s="303">
        <f>IF(Stats!$M$4="",HLOOKUP(Stats!$B$5,Professions!$F$59:$DD$114,Professions!$DF$42,0),((HLOOKUP(Stats!$B$5,Professions!$F$59:$DD$114,Professions!$DF$42,0)+HLOOKUP(Stats!$B$6,Professions!$F$59:$DD$114,Professions!$DF$42,0))/2-0.01))</f>
        <v>2.4900000000000002</v>
      </c>
      <c r="J363" s="302"/>
      <c r="K363" s="303">
        <f>F363+H363+I363+J363</f>
        <v>9.99</v>
      </c>
      <c r="M363" s="304"/>
      <c r="O363" s="80">
        <f t="shared" si="36"/>
        <v>0</v>
      </c>
      <c r="P363" s="115"/>
      <c r="Q363" s="305"/>
      <c r="Y363" s="80">
        <v>358</v>
      </c>
    </row>
    <row r="364" spans="1:25" ht="12.75" customHeight="1" x14ac:dyDescent="0.2">
      <c r="A364" s="179"/>
      <c r="B364" s="257" t="s">
        <v>737</v>
      </c>
      <c r="C364" s="111" t="str">
        <f>HLOOKUP(Stats!$B$5,Professions!$E$412:$DD$414,3,0)</f>
        <v>8/8*</v>
      </c>
      <c r="D364" s="111" t="str">
        <f>IF(Stats!$B$6="","",HLOOKUP(Stats!$B$6,Professions!$E$412:$DD$414,3,0))</f>
        <v>16/16</v>
      </c>
      <c r="E364" s="111"/>
      <c r="F364" s="111">
        <f>VLOOKUP(E364,Professions!$DQ$1:$DX$203,4)</f>
        <v>0</v>
      </c>
      <c r="G364" s="111"/>
      <c r="H364" s="111"/>
      <c r="I364" s="111"/>
      <c r="J364" s="111"/>
      <c r="K364" s="197">
        <f t="shared" si="37"/>
        <v>9.99</v>
      </c>
      <c r="M364" s="304"/>
      <c r="O364" s="80">
        <f t="shared" si="36"/>
        <v>0</v>
      </c>
      <c r="P364" s="115"/>
      <c r="Q364" s="305"/>
      <c r="Y364" s="80">
        <v>359</v>
      </c>
    </row>
    <row r="365" spans="1:25" ht="12.75" customHeight="1" x14ac:dyDescent="0.2">
      <c r="A365" s="111"/>
      <c r="B365" s="246" t="s">
        <v>737</v>
      </c>
      <c r="C365" s="111" t="str">
        <f>HLOOKUP(Stats!$B$5,Professions!$E$412:$DD$414,3,0)</f>
        <v>8/8*</v>
      </c>
      <c r="D365" s="111" t="str">
        <f>IF(Stats!$B$6="","",HLOOKUP(Stats!$B$6,Professions!$E$412:$DD$414,3,0))</f>
        <v>16/16</v>
      </c>
      <c r="E365" s="111"/>
      <c r="F365" s="111">
        <f>VLOOKUP(E365,Professions!$DQ$1:$DX$203,4)</f>
        <v>0</v>
      </c>
      <c r="G365" s="111"/>
      <c r="H365" s="111"/>
      <c r="I365" s="111"/>
      <c r="J365" s="111"/>
      <c r="K365" s="197">
        <f t="shared" si="37"/>
        <v>9.99</v>
      </c>
      <c r="M365" s="304"/>
      <c r="O365" s="80">
        <f t="shared" si="36"/>
        <v>0</v>
      </c>
      <c r="P365" s="115"/>
      <c r="Q365" s="305"/>
      <c r="Y365" s="80">
        <v>360</v>
      </c>
    </row>
    <row r="366" spans="1:25" ht="12.75" customHeight="1" x14ac:dyDescent="0.2">
      <c r="A366" s="111"/>
      <c r="B366" s="246" t="s">
        <v>737</v>
      </c>
      <c r="C366" s="111" t="str">
        <f>HLOOKUP(Stats!$B$5,Professions!$E$412:$DD$414,3,0)</f>
        <v>8/8*</v>
      </c>
      <c r="D366" s="111" t="str">
        <f>IF(Stats!$B$6="","",HLOOKUP(Stats!$B$6,Professions!$E$412:$DD$414,3,0))</f>
        <v>16/16</v>
      </c>
      <c r="E366" s="111"/>
      <c r="F366" s="111">
        <f>VLOOKUP(E366,Professions!$DQ$1:$DX$203,4)</f>
        <v>0</v>
      </c>
      <c r="G366" s="111"/>
      <c r="H366" s="111"/>
      <c r="I366" s="111"/>
      <c r="J366" s="111"/>
      <c r="K366" s="197">
        <f t="shared" si="37"/>
        <v>9.99</v>
      </c>
      <c r="M366" s="304"/>
      <c r="O366" s="80">
        <f t="shared" si="36"/>
        <v>0</v>
      </c>
      <c r="P366" s="115"/>
      <c r="Q366" s="305"/>
      <c r="Y366" s="80">
        <v>361</v>
      </c>
    </row>
    <row r="367" spans="1:25" ht="12.75" customHeight="1" x14ac:dyDescent="0.2">
      <c r="A367" s="148"/>
      <c r="B367" s="309" t="s">
        <v>737</v>
      </c>
      <c r="C367" s="111" t="str">
        <f>HLOOKUP(Stats!$B$5,Professions!$E$412:$DD$414,3,0)</f>
        <v>8/8*</v>
      </c>
      <c r="D367" s="111" t="str">
        <f>IF(Stats!$B$6="","",HLOOKUP(Stats!$B$6,Professions!$E$412:$DD$414,3,0))</f>
        <v>16/16</v>
      </c>
      <c r="E367" s="111"/>
      <c r="F367" s="111">
        <f>VLOOKUP(E367,Professions!$DQ$1:$DX$203,4)</f>
        <v>0</v>
      </c>
      <c r="G367" s="111"/>
      <c r="H367" s="111"/>
      <c r="I367" s="111"/>
      <c r="J367" s="111"/>
      <c r="K367" s="197">
        <f t="shared" si="37"/>
        <v>9.99</v>
      </c>
      <c r="M367" s="304"/>
      <c r="O367" s="80">
        <f t="shared" si="36"/>
        <v>0</v>
      </c>
      <c r="P367" s="115"/>
      <c r="Q367" s="305"/>
      <c r="Y367" s="80">
        <v>362</v>
      </c>
    </row>
    <row r="368" spans="1:25" ht="12.75" customHeight="1" x14ac:dyDescent="0.2">
      <c r="A368" s="244" t="s">
        <v>739</v>
      </c>
      <c r="B368" s="204"/>
      <c r="C368" s="226"/>
      <c r="D368" s="226"/>
      <c r="E368" s="302"/>
      <c r="F368" s="302"/>
      <c r="G368" s="302" t="str">
        <f>Stats!$C$39</f>
        <v>Ess/Chan</v>
      </c>
      <c r="H368" s="303">
        <f>VLOOKUP(Stats!$C$39,Professions!$E$120:$F$127,2,0)</f>
        <v>7.5</v>
      </c>
      <c r="I368" s="303">
        <f>IF(Stats!$M$4="",HLOOKUP(Stats!$B$5,Professions!$F$59:$DD$114,Professions!$DF$42,0),((HLOOKUP(Stats!$B$5,Professions!$F$59:$DD$114,Professions!$DF$42,0)+HLOOKUP(Stats!$B$6,Professions!$F$59:$DD$114,Professions!$DF$42,0))/2-0.01))</f>
        <v>2.4900000000000002</v>
      </c>
      <c r="J368" s="302"/>
      <c r="K368" s="303">
        <f>F368+H368+I368+J368</f>
        <v>9.99</v>
      </c>
      <c r="M368" s="304"/>
      <c r="O368" s="80">
        <f t="shared" si="36"/>
        <v>0</v>
      </c>
      <c r="P368" s="115"/>
      <c r="Q368" s="305"/>
      <c r="Y368" s="80">
        <v>363</v>
      </c>
    </row>
    <row r="369" spans="1:25" ht="12.75" customHeight="1" x14ac:dyDescent="0.2">
      <c r="A369" s="179"/>
      <c r="B369" s="257" t="s">
        <v>740</v>
      </c>
      <c r="C369" s="111" t="str">
        <f>HLOOKUP(Stats!$B$5,Professions!$E$412:$DD$418,5,0)</f>
        <v>12*</v>
      </c>
      <c r="D369" s="111" t="str">
        <f>IF(Stats!$B$6="","",HLOOKUP(Stats!$B$6,Professions!$E$412:$DD$418,5,0))</f>
        <v>60*</v>
      </c>
      <c r="E369" s="111"/>
      <c r="F369" s="111">
        <f>VLOOKUP(E369,Professions!$DQ$1:$DX$203,4)</f>
        <v>0</v>
      </c>
      <c r="G369" s="111"/>
      <c r="H369" s="111"/>
      <c r="I369" s="111"/>
      <c r="J369" s="111"/>
      <c r="K369" s="197">
        <f t="shared" si="37"/>
        <v>9.99</v>
      </c>
      <c r="M369" s="304"/>
      <c r="O369" s="80">
        <f t="shared" si="36"/>
        <v>0</v>
      </c>
      <c r="P369" s="115"/>
      <c r="Q369" s="305"/>
      <c r="Y369" s="80">
        <v>364</v>
      </c>
    </row>
    <row r="370" spans="1:25" ht="12.75" customHeight="1" x14ac:dyDescent="0.2">
      <c r="A370" s="111"/>
      <c r="B370" s="246" t="s">
        <v>740</v>
      </c>
      <c r="C370" s="111" t="str">
        <f>HLOOKUP(Stats!$B$5,Professions!$E$412:$DD$418,5,0)</f>
        <v>12*</v>
      </c>
      <c r="D370" s="111" t="str">
        <f>IF(Stats!$B$6="","",HLOOKUP(Stats!$B$6,Professions!$E$412:$DD$418,5,0))</f>
        <v>60*</v>
      </c>
      <c r="E370" s="111"/>
      <c r="F370" s="111">
        <f>VLOOKUP(E370,Professions!$DQ$1:$DX$203,4)</f>
        <v>0</v>
      </c>
      <c r="G370" s="111"/>
      <c r="H370" s="111"/>
      <c r="I370" s="111"/>
      <c r="J370" s="111"/>
      <c r="K370" s="197">
        <f t="shared" si="37"/>
        <v>9.99</v>
      </c>
      <c r="M370" s="304"/>
      <c r="O370" s="80">
        <f t="shared" si="36"/>
        <v>0</v>
      </c>
      <c r="P370" s="115"/>
      <c r="Q370" s="305"/>
      <c r="Y370" s="80">
        <v>365</v>
      </c>
    </row>
    <row r="371" spans="1:25" ht="12.75" customHeight="1" x14ac:dyDescent="0.2">
      <c r="A371" s="111"/>
      <c r="B371" s="246" t="s">
        <v>740</v>
      </c>
      <c r="C371" s="111" t="str">
        <f>HLOOKUP(Stats!$B$5,Professions!$E$412:$DD$418,5,0)</f>
        <v>12*</v>
      </c>
      <c r="D371" s="111" t="str">
        <f>IF(Stats!$B$6="","",HLOOKUP(Stats!$B$6,Professions!$E$412:$DD$418,5,0))</f>
        <v>60*</v>
      </c>
      <c r="E371" s="111"/>
      <c r="F371" s="111">
        <f>VLOOKUP(E371,Professions!$DQ$1:$DX$203,4)</f>
        <v>0</v>
      </c>
      <c r="G371" s="111"/>
      <c r="H371" s="111"/>
      <c r="I371" s="111"/>
      <c r="J371" s="111"/>
      <c r="K371" s="197">
        <f t="shared" si="37"/>
        <v>9.99</v>
      </c>
      <c r="M371" s="304"/>
      <c r="O371" s="80">
        <f t="shared" si="36"/>
        <v>0</v>
      </c>
      <c r="P371" s="115"/>
      <c r="Q371" s="305"/>
      <c r="Y371" s="80">
        <v>366</v>
      </c>
    </row>
    <row r="372" spans="1:25" ht="12.75" customHeight="1" x14ac:dyDescent="0.2">
      <c r="A372" s="148"/>
      <c r="B372" s="309" t="s">
        <v>740</v>
      </c>
      <c r="C372" s="111" t="str">
        <f>HLOOKUP(Stats!$B$5,Professions!$E$412:$DD$418,5,0)</f>
        <v>12*</v>
      </c>
      <c r="D372" s="111" t="str">
        <f>IF(Stats!$B$6="","",HLOOKUP(Stats!$B$6,Professions!$E$412:$DD$418,5,0))</f>
        <v>60*</v>
      </c>
      <c r="E372" s="111"/>
      <c r="F372" s="111">
        <f>VLOOKUP(E372,Professions!$DQ$1:$DX$203,4)</f>
        <v>0</v>
      </c>
      <c r="G372" s="111"/>
      <c r="H372" s="111"/>
      <c r="I372" s="111"/>
      <c r="J372" s="111"/>
      <c r="K372" s="197">
        <f t="shared" si="37"/>
        <v>9.99</v>
      </c>
      <c r="M372" s="304"/>
      <c r="O372" s="80">
        <f t="shared" si="36"/>
        <v>0</v>
      </c>
      <c r="P372" s="115"/>
      <c r="Q372" s="305"/>
      <c r="Y372" s="80">
        <v>367</v>
      </c>
    </row>
    <row r="373" spans="1:25" ht="12.75" customHeight="1" x14ac:dyDescent="0.2">
      <c r="A373" s="244" t="s">
        <v>745</v>
      </c>
      <c r="B373" s="204"/>
      <c r="C373" s="226"/>
      <c r="D373" s="226"/>
      <c r="E373" s="302"/>
      <c r="F373" s="302"/>
      <c r="G373" s="302" t="str">
        <f>Stats!$C$39</f>
        <v>Ess/Chan</v>
      </c>
      <c r="H373" s="303">
        <f>VLOOKUP(Stats!$C$39,Professions!$E$120:$F$127,2,0)</f>
        <v>7.5</v>
      </c>
      <c r="I373" s="303">
        <f>IF(Stats!$M$4="",HLOOKUP(Stats!$B$5,Professions!$F$59:$DD$114,Professions!$DF$42,0),((HLOOKUP(Stats!$B$5,Professions!$F$59:$DD$114,Professions!$DF$42,0)+HLOOKUP(Stats!$B$6,Professions!$F$59:$DD$114,Professions!$DF$42,0))/2-0.01))</f>
        <v>2.4900000000000002</v>
      </c>
      <c r="J373" s="302"/>
      <c r="K373" s="303">
        <f>F373+H373+I373+J373</f>
        <v>9.99</v>
      </c>
      <c r="M373" s="304"/>
      <c r="O373" s="80">
        <f t="shared" si="36"/>
        <v>0</v>
      </c>
      <c r="P373" s="115"/>
      <c r="Q373" s="305"/>
      <c r="Y373" s="80">
        <v>368</v>
      </c>
    </row>
    <row r="374" spans="1:25" ht="12.75" customHeight="1" x14ac:dyDescent="0.2">
      <c r="A374" s="179"/>
      <c r="B374" s="257" t="s">
        <v>4005</v>
      </c>
      <c r="C374" s="111" t="str">
        <f>HLOOKUP(Stats!$B$5,Professions!$E$412:$DD$428,10,0)</f>
        <v>60*</v>
      </c>
      <c r="D374" s="111" t="str">
        <f>IF(Stats!$B$6="","",HLOOKUP(Stats!$B$6,Professions!$E$412:$DD$428,10,0))</f>
        <v>120*</v>
      </c>
      <c r="E374" s="111"/>
      <c r="F374" s="111">
        <f>VLOOKUP(E374,Professions!$DQ$1:$DX$203,4)</f>
        <v>0</v>
      </c>
      <c r="G374" s="111"/>
      <c r="H374" s="111"/>
      <c r="I374" s="111"/>
      <c r="J374" s="111"/>
      <c r="K374" s="197">
        <f t="shared" si="37"/>
        <v>9.99</v>
      </c>
      <c r="M374" s="304"/>
      <c r="O374" s="80">
        <f t="shared" si="36"/>
        <v>0</v>
      </c>
      <c r="P374" s="115"/>
      <c r="Q374" s="305"/>
      <c r="Y374" s="80">
        <v>369</v>
      </c>
    </row>
    <row r="375" spans="1:25" ht="12.75" customHeight="1" x14ac:dyDescent="0.2">
      <c r="A375" s="111"/>
      <c r="B375" s="257" t="s">
        <v>4005</v>
      </c>
      <c r="C375" s="111" t="str">
        <f>HLOOKUP(Stats!$B$5,Professions!$E$412:$DD$428,10,0)</f>
        <v>60*</v>
      </c>
      <c r="D375" s="111" t="str">
        <f>IF(Stats!$B$6="","",HLOOKUP(Stats!$B$6,Professions!$E$412:$DD$428,10,0))</f>
        <v>120*</v>
      </c>
      <c r="E375" s="111"/>
      <c r="F375" s="111">
        <f>VLOOKUP(E375,Professions!$DQ$1:$DX$203,4)</f>
        <v>0</v>
      </c>
      <c r="G375" s="111"/>
      <c r="H375" s="111"/>
      <c r="I375" s="111"/>
      <c r="J375" s="111"/>
      <c r="K375" s="197">
        <f t="shared" si="37"/>
        <v>9.99</v>
      </c>
      <c r="M375" s="304"/>
      <c r="O375" s="80">
        <f t="shared" si="36"/>
        <v>0</v>
      </c>
      <c r="P375" s="115"/>
      <c r="Q375" s="305"/>
      <c r="Y375" s="80">
        <v>370</v>
      </c>
    </row>
    <row r="376" spans="1:25" ht="12.75" customHeight="1" x14ac:dyDescent="0.2">
      <c r="A376" s="148"/>
      <c r="B376" s="308" t="s">
        <v>4005</v>
      </c>
      <c r="C376" s="111" t="str">
        <f>HLOOKUP(Stats!$B$5,Professions!$E$412:$DD$428,10,0)</f>
        <v>60*</v>
      </c>
      <c r="D376" s="111" t="str">
        <f>IF(Stats!$B$6="","",HLOOKUP(Stats!$B$6,Professions!$E$412:$DD$428,10,0))</f>
        <v>120*</v>
      </c>
      <c r="E376" s="111"/>
      <c r="F376" s="111">
        <f>VLOOKUP(E376,Professions!$DQ$1:$DX$203,4)</f>
        <v>0</v>
      </c>
      <c r="G376" s="111"/>
      <c r="H376" s="111"/>
      <c r="I376" s="111"/>
      <c r="J376" s="111"/>
      <c r="K376" s="197">
        <f t="shared" si="37"/>
        <v>9.99</v>
      </c>
      <c r="M376" s="304"/>
      <c r="O376" s="80">
        <f t="shared" si="36"/>
        <v>0</v>
      </c>
      <c r="P376" s="115"/>
      <c r="Q376" s="305"/>
      <c r="Y376" s="80">
        <v>371</v>
      </c>
    </row>
    <row r="377" spans="1:25" ht="12.75" customHeight="1" x14ac:dyDescent="0.2">
      <c r="A377" s="269"/>
      <c r="B377" s="312" t="s">
        <v>4005</v>
      </c>
      <c r="C377" s="250" t="str">
        <f>HLOOKUP(Stats!$B$5,Professions!$E$412:$DD$428,10,0)</f>
        <v>60*</v>
      </c>
      <c r="D377" s="111" t="str">
        <f>IF(Stats!$B$6="","",HLOOKUP(Stats!$B$6,Professions!$E$412:$DD$428,10,0))</f>
        <v>120*</v>
      </c>
      <c r="E377" s="111"/>
      <c r="F377" s="111">
        <f>VLOOKUP(E377,Professions!$DQ$1:$DX$203,4)</f>
        <v>0</v>
      </c>
      <c r="G377" s="111"/>
      <c r="H377" s="111"/>
      <c r="I377" s="111"/>
      <c r="J377" s="111"/>
      <c r="K377" s="197">
        <f t="shared" si="37"/>
        <v>9.99</v>
      </c>
      <c r="M377" s="319"/>
      <c r="N377" s="341"/>
      <c r="O377" s="341">
        <f t="shared" si="36"/>
        <v>0</v>
      </c>
      <c r="P377" s="342"/>
      <c r="Q377" s="276"/>
      <c r="Y377" s="80">
        <v>372</v>
      </c>
    </row>
    <row r="378" spans="1:25" ht="12.75" customHeight="1" x14ac:dyDescent="0.2">
      <c r="Y378" s="80">
        <v>373</v>
      </c>
    </row>
    <row r="385" spans="13:20" ht="12.75" customHeight="1" x14ac:dyDescent="0.2">
      <c r="M385" s="80" t="s">
        <v>746</v>
      </c>
      <c r="N385" s="343"/>
      <c r="O385" s="80" t="s">
        <v>747</v>
      </c>
      <c r="R385" s="198">
        <f>LARGE(Professions!$FD$2:$FD$32,1)</f>
        <v>4.9901600000000004</v>
      </c>
      <c r="S385" s="198"/>
      <c r="T385" s="80" t="str">
        <f>VLOOKUP(R385,Professions!$FD$2:$FE$32,Professions!$FE$1,0)</f>
        <v>Pole Arm</v>
      </c>
    </row>
    <row r="386" spans="13:20" ht="12.75" customHeight="1" x14ac:dyDescent="0.2">
      <c r="M386" s="80" t="s">
        <v>748</v>
      </c>
      <c r="N386" s="343"/>
      <c r="O386" s="80" t="s">
        <v>747</v>
      </c>
      <c r="R386" s="198">
        <f>LARGE(Professions!$FD$2:$FD$32,2)</f>
        <v>4.9901499999999999</v>
      </c>
      <c r="S386" s="198"/>
      <c r="T386" s="80" t="str">
        <f>VLOOKUP(R386,Professions!$FD$2:$FE$32,Professions!$FE$1,0)</f>
        <v>Pole Arm</v>
      </c>
    </row>
    <row r="387" spans="13:20" ht="12.75" customHeight="1" x14ac:dyDescent="0.2">
      <c r="M387" s="80" t="s">
        <v>749</v>
      </c>
      <c r="N387" s="343"/>
      <c r="O387" s="80" t="s">
        <v>747</v>
      </c>
      <c r="R387" s="198">
        <f>LARGE(Professions!$FD$2:$FD$32,3)</f>
        <v>4.9901400000000002</v>
      </c>
      <c r="S387" s="198"/>
      <c r="T387" s="80" t="str">
        <f>VLOOKUP(R387,Professions!$FD$2:$FE$32,Professions!$FE$1,0)</f>
        <v>Pole Arm</v>
      </c>
    </row>
    <row r="388" spans="13:20" ht="12.75" customHeight="1" x14ac:dyDescent="0.2">
      <c r="M388" s="80" t="s">
        <v>750</v>
      </c>
      <c r="N388" s="344"/>
      <c r="P388" s="80">
        <f>SUM($N$3:$N$387)</f>
        <v>0</v>
      </c>
      <c r="R388" s="198">
        <f>LARGE(Professions!$FD$2:$FD$32,4)</f>
        <v>4.9900900000000004</v>
      </c>
      <c r="S388" s="198"/>
      <c r="T388" s="80" t="str">
        <f>VLOOKUP(R388,Professions!$FD$2:$FE$32,Professions!$FE$1,0)</f>
        <v>2-Handed</v>
      </c>
    </row>
    <row r="389" spans="13:20" ht="12.75" customHeight="1" x14ac:dyDescent="0.2">
      <c r="R389" s="198">
        <f>LARGE(Professions!$FD$2:$FD$32,5)</f>
        <v>4.9900799999999998</v>
      </c>
      <c r="S389" s="198"/>
      <c r="T389" s="80" t="str">
        <f>VLOOKUP(R389,Professions!$FD$2:$FE$32,Professions!$FE$1,0)</f>
        <v>2-Handed</v>
      </c>
    </row>
    <row r="390" spans="13:20" ht="12.75" customHeight="1" x14ac:dyDescent="0.2">
      <c r="R390" s="198">
        <f>LARGE(Professions!$FD$2:$FD$32,6)</f>
        <v>4.9900700000000002</v>
      </c>
      <c r="S390" s="198"/>
      <c r="T390" s="80" t="str">
        <f>VLOOKUP(R390,Professions!$FD$2:$FE$32,Professions!$FE$1,0)</f>
        <v>2-Handed</v>
      </c>
    </row>
    <row r="391" spans="13:20" ht="12.75" customHeight="1" x14ac:dyDescent="0.2">
      <c r="R391" s="198">
        <f>LARGE(Professions!$FD$2:$FD$32,7)</f>
        <v>4.9900600000000006</v>
      </c>
      <c r="S391" s="198"/>
      <c r="T391" s="80" t="str">
        <f>VLOOKUP(R391,Professions!$FD$2:$FE$32,Professions!$FE$1,0)</f>
        <v>1-H Edged</v>
      </c>
    </row>
    <row r="392" spans="13:20" ht="12.75" customHeight="1" x14ac:dyDescent="0.2">
      <c r="R392" s="198">
        <f>LARGE(Professions!$FD$2:$FD$32,8)</f>
        <v>4.9900500000000001</v>
      </c>
      <c r="S392" s="198"/>
      <c r="T392" s="80" t="str">
        <f>VLOOKUP(R392,Professions!$FD$2:$FE$32,Professions!$FE$1,0)</f>
        <v>1-H Edged</v>
      </c>
    </row>
    <row r="393" spans="13:20" ht="12.75" customHeight="1" x14ac:dyDescent="0.2">
      <c r="R393" s="198">
        <f>LARGE(Professions!$FD$2:$FD$32,9)</f>
        <v>4.9900400000000005</v>
      </c>
      <c r="S393" s="198"/>
      <c r="T393" s="80" t="str">
        <f>VLOOKUP(R393,Professions!$FD$2:$FE$32,Professions!$FE$1,0)</f>
        <v>1-H Edged</v>
      </c>
    </row>
    <row r="394" spans="13:20" ht="12.75" customHeight="1" x14ac:dyDescent="0.2">
      <c r="R394" s="198">
        <f>LARGE(Professions!$FD$2:$FD$32,10)</f>
        <v>4.9900030000000006</v>
      </c>
      <c r="S394" s="198"/>
      <c r="T394" s="80" t="str">
        <f>VLOOKUP(R394,Professions!$FD$2:$FE$32,Professions!$FE$1,0)</f>
        <v>1-H Krush</v>
      </c>
    </row>
    <row r="395" spans="13:20" ht="12.75" customHeight="1" x14ac:dyDescent="0.2">
      <c r="R395" s="198">
        <f>LARGE(Professions!$FD$2:$FD$32,11)</f>
        <v>4.9900020000000005</v>
      </c>
      <c r="S395" s="198"/>
      <c r="T395" s="80" t="str">
        <f>VLOOKUP(R395,Professions!$FD$2:$FE$32,Professions!$FE$1,0)</f>
        <v>1-H Krush</v>
      </c>
    </row>
    <row r="396" spans="13:20" ht="12.75" customHeight="1" x14ac:dyDescent="0.2">
      <c r="R396" s="198">
        <f>LARGE(Professions!$FD$2:$FD$32,12)</f>
        <v>4.9900010000000004</v>
      </c>
      <c r="S396" s="198"/>
      <c r="T396" s="80" t="str">
        <f>VLOOKUP(R396,Professions!$FD$2:$FE$32,Professions!$FE$1,0)</f>
        <v>1-H Krush</v>
      </c>
    </row>
    <row r="397" spans="13:20" ht="12.75" customHeight="1" x14ac:dyDescent="0.2">
      <c r="R397" s="80">
        <f>LARGE(Professions!$FD$2:$FD$32,13)</f>
        <v>2.9901900000000001</v>
      </c>
      <c r="T397" s="80" t="str">
        <f>VLOOKUP(R397,Professions!$FD$2:$FE$32,Professions!$FE$1,0)</f>
        <v>Thrown</v>
      </c>
    </row>
    <row r="398" spans="13:20" ht="12.75" customHeight="1" x14ac:dyDescent="0.2">
      <c r="R398" s="80">
        <f>LARGE(Professions!$FD$2:$FD$32,14)</f>
        <v>2.9901800000000001</v>
      </c>
      <c r="T398" s="80" t="str">
        <f>VLOOKUP(R398,Professions!$FD$2:$FE$32,Professions!$FE$1,0)</f>
        <v>Thrown</v>
      </c>
    </row>
    <row r="399" spans="13:20" ht="12.75" customHeight="1" x14ac:dyDescent="0.2">
      <c r="R399" s="80">
        <f>LARGE(Professions!$FD$2:$FD$32,15)</f>
        <v>2.99017</v>
      </c>
      <c r="T399" s="80" t="str">
        <f>VLOOKUP(R399,Professions!$FD$2:$FE$32,Professions!$FE$1,0)</f>
        <v>Thrown</v>
      </c>
    </row>
    <row r="400" spans="13:20" ht="12.75" customHeight="1" x14ac:dyDescent="0.2">
      <c r="R400" s="80">
        <f>LARGE(Professions!$FD$2:$FD$32,16)</f>
        <v>2.9901200000000001</v>
      </c>
      <c r="T400" s="80" t="str">
        <f>VLOOKUP(R400,Professions!$FD$2:$FE$32,Professions!$FE$1,0)</f>
        <v>Missile</v>
      </c>
    </row>
    <row r="401" spans="18:20" ht="12.75" customHeight="1" x14ac:dyDescent="0.2">
      <c r="R401" s="80">
        <f>LARGE(Professions!$FD$2:$FD$32,17)</f>
        <v>2.99011</v>
      </c>
      <c r="T401" s="80" t="str">
        <f>VLOOKUP(R401,Professions!$FD$2:$FE$32,Professions!$FE$1,0)</f>
        <v>Missile</v>
      </c>
    </row>
    <row r="402" spans="18:20" ht="12.75" customHeight="1" x14ac:dyDescent="0.2">
      <c r="R402" s="80">
        <f>LARGE(Professions!$FD$2:$FD$32,18)</f>
        <v>2.9901000000000004</v>
      </c>
      <c r="T402" s="80" t="str">
        <f>VLOOKUP(R402,Professions!$FD$2:$FE$32,Professions!$FE$1,0)</f>
        <v>Missile</v>
      </c>
    </row>
    <row r="403" spans="18:20" ht="12.75" customHeight="1" x14ac:dyDescent="0.2">
      <c r="R403" s="80">
        <f>LARGE(Professions!$FD$2:$FD$32,19)</f>
        <v>-3.0098699999999998</v>
      </c>
      <c r="T403" s="80" t="str">
        <f>VLOOKUP(R403,Professions!$FD$2:$FE$32,Professions!$FE$1,0)</f>
        <v>Artillery</v>
      </c>
    </row>
    <row r="404" spans="18:20" ht="12.75" customHeight="1" x14ac:dyDescent="0.2">
      <c r="R404" s="80">
        <f>LARGE(Professions!$FD$2:$FD$32,20)</f>
        <v>-3.009999999999998</v>
      </c>
      <c r="T404" s="80" t="str">
        <f>VLOOKUP(R404,Professions!$FD$2:$FE$32,Professions!$FE$1,0)</f>
        <v>Two-Weapon Fighting</v>
      </c>
    </row>
  </sheetData>
  <sheetProtection selectLockedCells="1" selectUnlockedCells="1"/>
  <mergeCells count="6">
    <mergeCell ref="A338:B338"/>
    <mergeCell ref="A2:B2"/>
    <mergeCell ref="A67:B67"/>
    <mergeCell ref="A136:B136"/>
    <mergeCell ref="A206:B206"/>
    <mergeCell ref="A281:B281"/>
  </mergeCells>
  <dataValidations disablePrompts="1" count="1">
    <dataValidation type="list" allowBlank="1" showInputMessage="1" showErrorMessage="1" sqref="V2:X2" xr:uid="{00000000-0002-0000-0300-000000000000}">
      <formula1>TPs</formula1>
    </dataValidation>
  </dataValidations>
  <printOptions horizontalCentered="1"/>
  <pageMargins left="0.39374999999999999" right="0.35416666666666669" top="0.19652777777777777" bottom="0.15763888888888888" header="0.51180555555555551" footer="0.51180555555555551"/>
  <pageSetup paperSize="9" scale="90" firstPageNumber="0" orientation="portrait" horizontalDpi="300" verticalDpi="300" r:id="rId1"/>
  <headerFooter alignWithMargins="0"/>
  <rowBreaks count="6" manualBreakCount="6">
    <brk id="66" max="16383" man="1"/>
    <brk id="135" max="16383" man="1"/>
    <brk id="205" max="16383" man="1"/>
    <brk id="271" max="16383" man="1"/>
    <brk id="337" max="16383" man="1"/>
    <brk id="377" max="16383" man="1"/>
  </rowBreaks>
  <ignoredErrors>
    <ignoredError sqref="F8" 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Q462"/>
  <sheetViews>
    <sheetView zoomScaleNormal="100" workbookViewId="0">
      <selection activeCell="F60" sqref="F60"/>
    </sheetView>
  </sheetViews>
  <sheetFormatPr defaultColWidth="11.5703125" defaultRowHeight="13.35" customHeight="1" x14ac:dyDescent="0.2"/>
  <cols>
    <col min="1" max="1" width="4" style="12" customWidth="1"/>
    <col min="2" max="2" width="5.85546875" style="12" customWidth="1"/>
    <col min="3" max="3" width="4.5703125" style="12" customWidth="1"/>
    <col min="4" max="4" width="11.5703125" style="12"/>
    <col min="5" max="5" width="19" style="12" customWidth="1"/>
    <col min="6" max="6" width="5.7109375" style="12" customWidth="1"/>
    <col min="7" max="7" width="4.5703125" style="12" customWidth="1"/>
    <col min="8" max="8" width="5.42578125" style="12" customWidth="1"/>
    <col min="9" max="9" width="9.42578125" style="12" customWidth="1"/>
    <col min="10" max="10" width="6.42578125" style="12" customWidth="1"/>
    <col min="11" max="11" width="6.7109375" style="12" customWidth="1"/>
    <col min="12" max="12" width="7.140625" style="12" customWidth="1"/>
    <col min="13" max="13" width="5" style="12" customWidth="1"/>
    <col min="14" max="14" width="6" style="12" customWidth="1"/>
    <col min="15" max="15" width="6.85546875" style="12" customWidth="1"/>
    <col min="16" max="16" width="8.140625" style="12" customWidth="1"/>
    <col min="17" max="17" width="5.42578125" style="12" customWidth="1"/>
    <col min="18" max="18" width="5.5703125" style="12" customWidth="1"/>
    <col min="19" max="19" width="6.5703125" style="12" customWidth="1"/>
    <col min="20" max="21" width="5.85546875" style="12" customWidth="1"/>
    <col min="22" max="22" width="4.85546875" style="12" customWidth="1"/>
    <col min="23" max="23" width="6.140625" style="12" customWidth="1"/>
    <col min="24" max="24" width="4.85546875" style="12" customWidth="1"/>
    <col min="25" max="25" width="5.85546875" style="12" customWidth="1"/>
    <col min="26" max="26" width="3.140625" style="12" customWidth="1"/>
    <col min="27" max="30" width="9.42578125" style="12" customWidth="1"/>
    <col min="31" max="31" width="2.28515625" style="12" customWidth="1"/>
    <col min="32" max="34" width="9.42578125" style="12" customWidth="1"/>
    <col min="35" max="35" width="3" style="12" customWidth="1"/>
    <col min="36" max="39" width="10.140625" style="12" customWidth="1"/>
    <col min="40" max="40" width="2.42578125" style="12" customWidth="1"/>
    <col min="41" max="43" width="10.140625" style="12" customWidth="1"/>
    <col min="44" max="44" width="2.5703125" style="12" customWidth="1"/>
    <col min="45" max="93" width="10.140625" style="12" customWidth="1"/>
    <col min="94" max="95" width="10" style="12" customWidth="1"/>
    <col min="96" max="96" width="3" style="12" customWidth="1"/>
    <col min="97" max="100" width="9.42578125" style="12" customWidth="1"/>
    <col min="101" max="101" width="2.5703125" style="12" customWidth="1"/>
    <col min="102" max="106" width="10.140625" style="12" customWidth="1"/>
    <col min="107" max="107" width="11" style="12" customWidth="1"/>
    <col min="108" max="108" width="10.7109375" style="12" customWidth="1"/>
    <col min="109" max="109" width="9.42578125" style="12" customWidth="1"/>
    <col min="110" max="110" width="3" style="12" customWidth="1"/>
    <col min="111" max="112" width="11.5703125" style="12"/>
    <col min="113" max="113" width="19.7109375" style="12" bestFit="1" customWidth="1"/>
    <col min="114" max="114" width="3.28515625" style="12" customWidth="1"/>
    <col min="115" max="116" width="3.140625" style="12" customWidth="1"/>
    <col min="117" max="118" width="3.28515625" style="12" customWidth="1"/>
    <col min="119" max="119" width="3" style="12" customWidth="1"/>
    <col min="120" max="129" width="11.5703125" style="12"/>
    <col min="130" max="131" width="3.7109375" style="12" customWidth="1"/>
    <col min="132" max="155" width="4.42578125" style="12" customWidth="1"/>
    <col min="156" max="156" width="3.7109375" style="12" customWidth="1"/>
    <col min="157" max="158" width="5.28515625" style="12" customWidth="1"/>
    <col min="159" max="159" width="4.42578125" style="12" customWidth="1"/>
    <col min="160" max="160" width="13" style="12" customWidth="1"/>
    <col min="161" max="167" width="4.42578125" style="12" customWidth="1"/>
    <col min="168" max="16384" width="11.5703125" style="12"/>
  </cols>
  <sheetData>
    <row r="1" spans="1:166" ht="13.35" customHeight="1" thickTop="1" thickBot="1" x14ac:dyDescent="0.25">
      <c r="A1" s="13" t="s">
        <v>751</v>
      </c>
      <c r="B1" s="13" t="s">
        <v>368</v>
      </c>
      <c r="C1" s="13" t="s">
        <v>360</v>
      </c>
      <c r="DQ1" s="14" t="s">
        <v>752</v>
      </c>
      <c r="DR1" s="15" t="s">
        <v>753</v>
      </c>
      <c r="DS1" s="15" t="s">
        <v>754</v>
      </c>
      <c r="DT1" s="16" t="s">
        <v>755</v>
      </c>
      <c r="DU1" s="15" t="s">
        <v>756</v>
      </c>
      <c r="DV1" s="17" t="s">
        <v>757</v>
      </c>
      <c r="DW1" s="18" t="s">
        <v>758</v>
      </c>
      <c r="DX1" s="19" t="s">
        <v>759</v>
      </c>
      <c r="DY1" s="12" t="s">
        <v>727</v>
      </c>
      <c r="EA1" s="12">
        <v>9853</v>
      </c>
      <c r="EB1" s="12">
        <v>8654</v>
      </c>
      <c r="EC1" s="12">
        <v>7654</v>
      </c>
      <c r="ED1" s="12">
        <v>7543</v>
      </c>
      <c r="EE1" s="12">
        <v>7532</v>
      </c>
      <c r="EF1" s="12">
        <v>7531</v>
      </c>
      <c r="EG1" s="12">
        <v>7521</v>
      </c>
      <c r="EH1" s="12">
        <v>7431</v>
      </c>
      <c r="EI1" s="12">
        <v>7421</v>
      </c>
      <c r="EJ1" s="12">
        <v>7321</v>
      </c>
      <c r="EK1" s="12">
        <v>6543</v>
      </c>
      <c r="EL1" s="12">
        <v>6531</v>
      </c>
      <c r="EM1" s="12">
        <v>6521</v>
      </c>
      <c r="EN1" s="12">
        <v>6432</v>
      </c>
      <c r="EO1" s="12">
        <v>6421</v>
      </c>
      <c r="EP1" s="12">
        <v>6321</v>
      </c>
      <c r="EQ1" s="12">
        <v>6311</v>
      </c>
      <c r="ER1" s="12">
        <v>5432</v>
      </c>
      <c r="ES1" s="12">
        <v>5322</v>
      </c>
      <c r="ET1" s="12">
        <v>5311</v>
      </c>
      <c r="EU1" s="12">
        <v>4322</v>
      </c>
      <c r="EV1" s="12">
        <v>4321</v>
      </c>
      <c r="EW1" s="12">
        <v>3221</v>
      </c>
      <c r="EX1" s="12">
        <v>3211</v>
      </c>
      <c r="EY1" s="12">
        <v>2111</v>
      </c>
      <c r="EZ1" s="12">
        <v>1</v>
      </c>
      <c r="FD1" s="12">
        <v>1</v>
      </c>
      <c r="FE1" s="12">
        <v>2</v>
      </c>
      <c r="FH1" s="12" t="s">
        <v>760</v>
      </c>
      <c r="FI1" s="12" t="s">
        <v>761</v>
      </c>
      <c r="FJ1" s="12" t="s">
        <v>760</v>
      </c>
    </row>
    <row r="2" spans="1:166" ht="13.35" customHeight="1" thickTop="1" thickBot="1" x14ac:dyDescent="0.25">
      <c r="A2" s="21">
        <v>1</v>
      </c>
      <c r="B2" s="22">
        <f t="shared" ref="B2:B11" si="0">ROUNDDOWN((A2-21)/2,0)</f>
        <v>-10</v>
      </c>
      <c r="C2" s="21">
        <v>1</v>
      </c>
      <c r="E2" s="12" t="s">
        <v>762</v>
      </c>
      <c r="F2" s="12" t="s">
        <v>763</v>
      </c>
      <c r="G2" s="12" t="s">
        <v>764</v>
      </c>
      <c r="H2" s="12" t="s">
        <v>765</v>
      </c>
      <c r="I2" s="12" t="s">
        <v>766</v>
      </c>
      <c r="J2" s="12" t="s">
        <v>767</v>
      </c>
      <c r="K2" s="12" t="s">
        <v>768</v>
      </c>
      <c r="L2" s="12" t="s">
        <v>769</v>
      </c>
      <c r="M2" s="12" t="s">
        <v>770</v>
      </c>
      <c r="N2" s="12" t="s">
        <v>771</v>
      </c>
      <c r="O2" s="12" t="s">
        <v>772</v>
      </c>
      <c r="P2" s="12" t="s">
        <v>773</v>
      </c>
      <c r="Q2" s="12" t="s">
        <v>774</v>
      </c>
      <c r="R2" s="12" t="s">
        <v>775</v>
      </c>
      <c r="S2" s="12" t="s">
        <v>181</v>
      </c>
      <c r="T2" s="12" t="s">
        <v>776</v>
      </c>
      <c r="U2" s="12" t="s">
        <v>777</v>
      </c>
      <c r="V2" s="12" t="s">
        <v>778</v>
      </c>
      <c r="W2" s="12" t="s">
        <v>779</v>
      </c>
      <c r="X2" s="12" t="s">
        <v>780</v>
      </c>
      <c r="Y2" s="12" t="s">
        <v>781</v>
      </c>
      <c r="AA2" s="12" t="s">
        <v>782</v>
      </c>
      <c r="AB2" s="12" t="s">
        <v>783</v>
      </c>
      <c r="AC2" s="12" t="s">
        <v>784</v>
      </c>
      <c r="AD2" s="12" t="s">
        <v>785</v>
      </c>
      <c r="AF2" s="12" t="s">
        <v>786</v>
      </c>
      <c r="AG2" s="12" t="s">
        <v>787</v>
      </c>
      <c r="AH2" s="12" t="s">
        <v>788</v>
      </c>
      <c r="AJ2" s="12" t="s">
        <v>789</v>
      </c>
      <c r="AK2" s="12" t="s">
        <v>790</v>
      </c>
      <c r="AL2" s="12" t="s">
        <v>791</v>
      </c>
      <c r="AM2" s="12" t="s">
        <v>792</v>
      </c>
      <c r="AO2" s="12" t="s">
        <v>793</v>
      </c>
      <c r="AP2" s="12" t="s">
        <v>794</v>
      </c>
      <c r="AQ2" s="12" t="s">
        <v>795</v>
      </c>
      <c r="AS2" s="12" t="s">
        <v>796</v>
      </c>
      <c r="AT2" s="12" t="s">
        <v>797</v>
      </c>
      <c r="AU2" s="12" t="s">
        <v>798</v>
      </c>
      <c r="AV2" s="12" t="s">
        <v>799</v>
      </c>
      <c r="AW2" s="12" t="s">
        <v>800</v>
      </c>
      <c r="AX2" s="12" t="s">
        <v>801</v>
      </c>
      <c r="AY2" s="12" t="s">
        <v>802</v>
      </c>
      <c r="AZ2" s="12" t="s">
        <v>803</v>
      </c>
      <c r="BA2" s="12" t="s">
        <v>804</v>
      </c>
      <c r="BB2" s="12" t="s">
        <v>805</v>
      </c>
      <c r="BC2" s="12" t="s">
        <v>806</v>
      </c>
      <c r="BD2" s="12" t="s">
        <v>807</v>
      </c>
      <c r="BE2" s="12" t="s">
        <v>808</v>
      </c>
      <c r="BF2" s="12" t="s">
        <v>809</v>
      </c>
      <c r="BG2" s="12" t="s">
        <v>810</v>
      </c>
      <c r="BH2" s="12" t="s">
        <v>811</v>
      </c>
      <c r="BI2" s="12" t="s">
        <v>812</v>
      </c>
      <c r="BJ2" s="12" t="s">
        <v>813</v>
      </c>
      <c r="BK2" s="12" t="s">
        <v>814</v>
      </c>
      <c r="BL2" s="12" t="s">
        <v>815</v>
      </c>
      <c r="BM2" s="12" t="s">
        <v>816</v>
      </c>
      <c r="BN2" s="12" t="s">
        <v>817</v>
      </c>
      <c r="BO2" s="12" t="s">
        <v>818</v>
      </c>
      <c r="BP2" s="12" t="s">
        <v>819</v>
      </c>
      <c r="BQ2" s="12" t="s">
        <v>820</v>
      </c>
      <c r="BR2" s="12" t="s">
        <v>821</v>
      </c>
      <c r="BS2" s="12" t="s">
        <v>822</v>
      </c>
      <c r="BT2" s="12" t="s">
        <v>823</v>
      </c>
      <c r="BU2" s="12" t="s">
        <v>824</v>
      </c>
      <c r="BV2" s="12" t="s">
        <v>825</v>
      </c>
      <c r="BW2" s="12" t="s">
        <v>826</v>
      </c>
      <c r="BX2" s="12" t="s">
        <v>827</v>
      </c>
      <c r="BY2" s="12" t="s">
        <v>828</v>
      </c>
      <c r="BZ2" s="12" t="s">
        <v>829</v>
      </c>
      <c r="CA2" s="12" t="s">
        <v>830</v>
      </c>
      <c r="CB2" s="12" t="s">
        <v>831</v>
      </c>
      <c r="CC2" s="12" t="s">
        <v>832</v>
      </c>
      <c r="CD2" s="12" t="s">
        <v>833</v>
      </c>
      <c r="CE2" s="12" t="s">
        <v>834</v>
      </c>
      <c r="CF2" s="12" t="s">
        <v>835</v>
      </c>
      <c r="CG2" s="12" t="s">
        <v>836</v>
      </c>
      <c r="CH2" s="12" t="s">
        <v>837</v>
      </c>
      <c r="CI2" s="12" t="s">
        <v>838</v>
      </c>
      <c r="CJ2" s="12" t="s">
        <v>839</v>
      </c>
      <c r="CK2" s="12" t="s">
        <v>840</v>
      </c>
      <c r="CL2" s="12" t="s">
        <v>841</v>
      </c>
      <c r="CM2" s="12" t="s">
        <v>842</v>
      </c>
      <c r="CN2" s="12" t="s">
        <v>843</v>
      </c>
      <c r="CO2" s="12" t="s">
        <v>844</v>
      </c>
      <c r="CP2" s="12" t="s">
        <v>845</v>
      </c>
      <c r="CQ2" s="12" t="s">
        <v>846</v>
      </c>
      <c r="CS2" s="12" t="s">
        <v>847</v>
      </c>
      <c r="CT2" s="12" t="s">
        <v>848</v>
      </c>
      <c r="CU2" s="12" t="s">
        <v>849</v>
      </c>
      <c r="CV2" s="12" t="s">
        <v>850</v>
      </c>
      <c r="CX2" s="12" t="s">
        <v>851</v>
      </c>
      <c r="CY2" s="12" t="s">
        <v>852</v>
      </c>
      <c r="CZ2" s="12" t="s">
        <v>853</v>
      </c>
      <c r="DA2" s="12" t="s">
        <v>854</v>
      </c>
      <c r="DB2" s="12" t="s">
        <v>855</v>
      </c>
      <c r="DC2" s="12" t="s">
        <v>856</v>
      </c>
      <c r="DD2" s="12" t="s">
        <v>857</v>
      </c>
      <c r="DE2" s="12" t="s">
        <v>858</v>
      </c>
      <c r="DH2" s="94" t="s">
        <v>1136</v>
      </c>
      <c r="DI2" s="95" t="s">
        <v>1137</v>
      </c>
      <c r="DJ2" s="95" t="s">
        <v>1138</v>
      </c>
      <c r="DK2" s="95" t="s">
        <v>1139</v>
      </c>
      <c r="DL2" s="95" t="s">
        <v>1140</v>
      </c>
      <c r="DM2" s="95" t="s">
        <v>1141</v>
      </c>
      <c r="DN2" s="96" t="s">
        <v>286</v>
      </c>
      <c r="DQ2" s="24" t="s">
        <v>899</v>
      </c>
      <c r="DR2" s="25" t="s">
        <v>900</v>
      </c>
      <c r="DS2" s="25" t="s">
        <v>901</v>
      </c>
      <c r="DT2" s="25" t="s">
        <v>902</v>
      </c>
      <c r="DU2" s="25" t="s">
        <v>903</v>
      </c>
      <c r="DV2" s="25" t="s">
        <v>904</v>
      </c>
      <c r="DW2" s="25" t="s">
        <v>905</v>
      </c>
      <c r="DX2" s="26" t="s">
        <v>906</v>
      </c>
      <c r="DY2" s="25" t="s">
        <v>907</v>
      </c>
      <c r="DZ2" s="12">
        <v>0</v>
      </c>
      <c r="EA2" s="12">
        <v>0</v>
      </c>
      <c r="EB2" s="12">
        <v>0</v>
      </c>
      <c r="EC2" s="12">
        <v>0</v>
      </c>
      <c r="ED2" s="12">
        <v>0</v>
      </c>
      <c r="EE2" s="12">
        <v>0</v>
      </c>
      <c r="EF2" s="12">
        <v>0</v>
      </c>
      <c r="EG2" s="12">
        <v>0</v>
      </c>
      <c r="EH2" s="12">
        <v>0</v>
      </c>
      <c r="EI2" s="12">
        <v>0</v>
      </c>
      <c r="EJ2" s="12">
        <v>0</v>
      </c>
      <c r="EK2" s="12">
        <v>0</v>
      </c>
      <c r="EL2" s="12">
        <v>0</v>
      </c>
      <c r="EM2" s="12">
        <v>0</v>
      </c>
      <c r="EN2" s="12">
        <v>0</v>
      </c>
      <c r="EO2" s="12">
        <v>0</v>
      </c>
      <c r="EP2" s="12">
        <v>0</v>
      </c>
      <c r="EQ2" s="12">
        <v>0</v>
      </c>
      <c r="ER2" s="12">
        <v>0</v>
      </c>
      <c r="ES2" s="12">
        <v>0</v>
      </c>
      <c r="ET2" s="12">
        <v>0</v>
      </c>
      <c r="EU2" s="12">
        <v>0</v>
      </c>
      <c r="EV2" s="12">
        <v>0</v>
      </c>
      <c r="EW2" s="12">
        <v>0</v>
      </c>
      <c r="EX2" s="12">
        <v>0</v>
      </c>
      <c r="EY2" s="12">
        <v>0</v>
      </c>
      <c r="EZ2" s="12">
        <v>2</v>
      </c>
      <c r="FD2" s="12">
        <f>Skills!K313</f>
        <v>4.9900010000000004</v>
      </c>
      <c r="FE2" s="12" t="str">
        <f>Skills!B313</f>
        <v>1-H Krush</v>
      </c>
      <c r="FH2" s="12">
        <v>0</v>
      </c>
      <c r="FI2" s="12">
        <v>0</v>
      </c>
      <c r="FJ2" s="12">
        <v>0</v>
      </c>
    </row>
    <row r="3" spans="1:166" ht="13.35" customHeight="1" thickTop="1" thickBot="1" x14ac:dyDescent="0.25">
      <c r="A3" s="21">
        <f t="shared" ref="A3:A34" si="1">A2+1</f>
        <v>2</v>
      </c>
      <c r="B3" s="22">
        <f t="shared" si="0"/>
        <v>-9</v>
      </c>
      <c r="C3" s="21">
        <f t="shared" ref="C3:C34" si="2">C2+1</f>
        <v>2</v>
      </c>
      <c r="E3" s="27" t="s">
        <v>380</v>
      </c>
      <c r="F3" s="28" t="s">
        <v>908</v>
      </c>
      <c r="G3" s="28" t="s">
        <v>909</v>
      </c>
      <c r="H3" s="28" t="s">
        <v>910</v>
      </c>
      <c r="I3" s="28" t="s">
        <v>911</v>
      </c>
      <c r="J3" s="28" t="s">
        <v>909</v>
      </c>
      <c r="K3" s="28" t="s">
        <v>912</v>
      </c>
      <c r="L3" s="28" t="s">
        <v>912</v>
      </c>
      <c r="M3" s="28" t="s">
        <v>912</v>
      </c>
      <c r="N3" s="28" t="s">
        <v>912</v>
      </c>
      <c r="O3" s="28" t="s">
        <v>913</v>
      </c>
      <c r="P3" s="28" t="s">
        <v>914</v>
      </c>
      <c r="Q3" s="28" t="s">
        <v>913</v>
      </c>
      <c r="R3" s="28" t="s">
        <v>913</v>
      </c>
      <c r="S3" s="28" t="s">
        <v>912</v>
      </c>
      <c r="T3" s="28" t="s">
        <v>914</v>
      </c>
      <c r="U3" s="28" t="s">
        <v>910</v>
      </c>
      <c r="V3" s="28" t="s">
        <v>912</v>
      </c>
      <c r="W3" s="28" t="s">
        <v>912</v>
      </c>
      <c r="X3" s="28" t="s">
        <v>914</v>
      </c>
      <c r="Y3" s="28" t="s">
        <v>915</v>
      </c>
      <c r="Z3" s="28"/>
      <c r="AA3" s="28" t="s">
        <v>912</v>
      </c>
      <c r="AB3" s="28" t="s">
        <v>912</v>
      </c>
      <c r="AC3" s="28" t="s">
        <v>916</v>
      </c>
      <c r="AD3" s="28" t="s">
        <v>913</v>
      </c>
      <c r="AE3" s="28"/>
      <c r="AF3" s="28" t="s">
        <v>912</v>
      </c>
      <c r="AG3" s="28" t="s">
        <v>912</v>
      </c>
      <c r="AH3" s="28" t="s">
        <v>911</v>
      </c>
      <c r="AI3" s="28"/>
      <c r="AJ3" s="28" t="s">
        <v>909</v>
      </c>
      <c r="AK3" s="28" t="s">
        <v>913</v>
      </c>
      <c r="AL3" s="28" t="s">
        <v>913</v>
      </c>
      <c r="AM3" s="28" t="s">
        <v>913</v>
      </c>
      <c r="AN3" s="28"/>
      <c r="AO3" s="28" t="s">
        <v>912</v>
      </c>
      <c r="AP3" s="28" t="s">
        <v>913</v>
      </c>
      <c r="AQ3" s="28" t="s">
        <v>913</v>
      </c>
      <c r="AR3" s="28"/>
      <c r="AS3" s="28" t="s">
        <v>912</v>
      </c>
      <c r="AT3" s="28" t="s">
        <v>912</v>
      </c>
      <c r="AU3" s="28" t="s">
        <v>912</v>
      </c>
      <c r="AV3" s="28" t="s">
        <v>912</v>
      </c>
      <c r="AW3" s="28" t="s">
        <v>912</v>
      </c>
      <c r="AX3" s="28" t="s">
        <v>912</v>
      </c>
      <c r="AY3" s="28" t="s">
        <v>912</v>
      </c>
      <c r="AZ3" s="28" t="s">
        <v>912</v>
      </c>
      <c r="BA3" s="28" t="s">
        <v>912</v>
      </c>
      <c r="BB3" s="28" t="s">
        <v>912</v>
      </c>
      <c r="BC3" s="28" t="s">
        <v>912</v>
      </c>
      <c r="BD3" s="28" t="s">
        <v>912</v>
      </c>
      <c r="BE3" s="28" t="s">
        <v>912</v>
      </c>
      <c r="BF3" s="28" t="s">
        <v>912</v>
      </c>
      <c r="BG3" s="28" t="s">
        <v>912</v>
      </c>
      <c r="BH3" s="28" t="s">
        <v>912</v>
      </c>
      <c r="BI3" s="28" t="s">
        <v>912</v>
      </c>
      <c r="BJ3" s="28" t="s">
        <v>912</v>
      </c>
      <c r="BK3" s="28" t="s">
        <v>912</v>
      </c>
      <c r="BL3" s="28" t="s">
        <v>912</v>
      </c>
      <c r="BM3" s="28" t="s">
        <v>912</v>
      </c>
      <c r="BN3" s="28" t="s">
        <v>912</v>
      </c>
      <c r="BO3" s="28" t="s">
        <v>912</v>
      </c>
      <c r="BP3" s="28" t="s">
        <v>912</v>
      </c>
      <c r="BQ3" s="28" t="s">
        <v>912</v>
      </c>
      <c r="BR3" s="28" t="s">
        <v>912</v>
      </c>
      <c r="BS3" s="28" t="s">
        <v>912</v>
      </c>
      <c r="BT3" s="28" t="s">
        <v>912</v>
      </c>
      <c r="BU3" s="28" t="s">
        <v>912</v>
      </c>
      <c r="BV3" s="28" t="s">
        <v>912</v>
      </c>
      <c r="BW3" s="28" t="s">
        <v>912</v>
      </c>
      <c r="BX3" s="28" t="s">
        <v>912</v>
      </c>
      <c r="BY3" s="28" t="s">
        <v>912</v>
      </c>
      <c r="BZ3" s="28" t="s">
        <v>912</v>
      </c>
      <c r="CA3" s="28" t="s">
        <v>912</v>
      </c>
      <c r="CB3" s="28" t="s">
        <v>912</v>
      </c>
      <c r="CC3" s="28" t="s">
        <v>912</v>
      </c>
      <c r="CD3" s="28" t="s">
        <v>912</v>
      </c>
      <c r="CE3" s="28" t="s">
        <v>912</v>
      </c>
      <c r="CF3" s="28" t="s">
        <v>912</v>
      </c>
      <c r="CG3" s="28" t="s">
        <v>912</v>
      </c>
      <c r="CH3" s="28" t="s">
        <v>912</v>
      </c>
      <c r="CI3" s="28" t="s">
        <v>912</v>
      </c>
      <c r="CJ3" s="28" t="s">
        <v>912</v>
      </c>
      <c r="CK3" s="28" t="s">
        <v>912</v>
      </c>
      <c r="CL3" s="28" t="s">
        <v>912</v>
      </c>
      <c r="CM3" s="28" t="s">
        <v>912</v>
      </c>
      <c r="CN3" s="28" t="s">
        <v>912</v>
      </c>
      <c r="CO3" s="28" t="s">
        <v>912</v>
      </c>
      <c r="CP3" s="28" t="s">
        <v>912</v>
      </c>
      <c r="CQ3" s="28" t="s">
        <v>912</v>
      </c>
      <c r="CR3" s="28"/>
      <c r="CS3" s="28" t="s">
        <v>911</v>
      </c>
      <c r="CT3" s="28" t="s">
        <v>909</v>
      </c>
      <c r="CU3" s="28" t="s">
        <v>912</v>
      </c>
      <c r="CV3" s="28" t="s">
        <v>915</v>
      </c>
      <c r="CW3" s="28"/>
      <c r="CX3" s="28" t="s">
        <v>914</v>
      </c>
      <c r="CY3" s="28" t="s">
        <v>912</v>
      </c>
      <c r="CZ3" s="28" t="s">
        <v>912</v>
      </c>
      <c r="DA3" s="28" t="s">
        <v>911</v>
      </c>
      <c r="DB3" s="28" t="s">
        <v>914</v>
      </c>
      <c r="DC3" s="28" t="s">
        <v>912</v>
      </c>
      <c r="DD3" s="28" t="s">
        <v>914</v>
      </c>
      <c r="DE3" s="28"/>
      <c r="DF3" s="12">
        <v>2</v>
      </c>
      <c r="DH3" s="97">
        <v>1</v>
      </c>
      <c r="DI3" s="12" t="s">
        <v>1148</v>
      </c>
      <c r="DJ3" s="12">
        <v>0</v>
      </c>
      <c r="DK3" s="12">
        <v>0</v>
      </c>
      <c r="DL3" s="12">
        <v>0</v>
      </c>
      <c r="DM3" s="12">
        <v>0</v>
      </c>
      <c r="DN3" s="98">
        <v>0</v>
      </c>
      <c r="DQ3" s="29">
        <v>0</v>
      </c>
      <c r="DR3" s="30">
        <v>-15</v>
      </c>
      <c r="DS3" s="30">
        <v>-15</v>
      </c>
      <c r="DT3" s="31">
        <v>0</v>
      </c>
      <c r="DU3" s="30">
        <v>-30</v>
      </c>
      <c r="DV3" s="32">
        <f t="shared" ref="DV3:DV34" si="3">HLOOKUP($B$154,$DZ$1:$EZ$202,$EZ2,0)</f>
        <v>0</v>
      </c>
      <c r="DW3" s="21">
        <f>HLOOKUP($B$155,$DZ1:$FA202,$EZ2,0)</f>
        <v>0</v>
      </c>
      <c r="DX3" s="33">
        <v>0</v>
      </c>
      <c r="DY3" s="23">
        <v>-30</v>
      </c>
      <c r="DZ3" s="12">
        <v>1</v>
      </c>
      <c r="EA3" s="12">
        <v>9</v>
      </c>
      <c r="EB3" s="12">
        <f>EB2+8</f>
        <v>8</v>
      </c>
      <c r="EC3" s="12">
        <f t="shared" ref="EC3:EJ3" si="4">EC2+7</f>
        <v>7</v>
      </c>
      <c r="ED3" s="12">
        <f t="shared" si="4"/>
        <v>7</v>
      </c>
      <c r="EE3" s="12">
        <f t="shared" si="4"/>
        <v>7</v>
      </c>
      <c r="EF3" s="12">
        <f t="shared" si="4"/>
        <v>7</v>
      </c>
      <c r="EG3" s="12">
        <f t="shared" si="4"/>
        <v>7</v>
      </c>
      <c r="EH3" s="12">
        <f t="shared" si="4"/>
        <v>7</v>
      </c>
      <c r="EI3" s="12">
        <f t="shared" si="4"/>
        <v>7</v>
      </c>
      <c r="EJ3" s="12">
        <f t="shared" si="4"/>
        <v>7</v>
      </c>
      <c r="EK3" s="12">
        <f t="shared" ref="EK3:EQ3" si="5">EK2+6</f>
        <v>6</v>
      </c>
      <c r="EL3" s="12">
        <f t="shared" si="5"/>
        <v>6</v>
      </c>
      <c r="EM3" s="12">
        <f t="shared" si="5"/>
        <v>6</v>
      </c>
      <c r="EN3" s="12">
        <f t="shared" si="5"/>
        <v>6</v>
      </c>
      <c r="EO3" s="12">
        <f t="shared" si="5"/>
        <v>6</v>
      </c>
      <c r="EP3" s="12">
        <f t="shared" si="5"/>
        <v>6</v>
      </c>
      <c r="EQ3" s="12">
        <f t="shared" si="5"/>
        <v>6</v>
      </c>
      <c r="ER3" s="12">
        <f>ER2+5</f>
        <v>5</v>
      </c>
      <c r="ES3" s="12">
        <f>ES2+5</f>
        <v>5</v>
      </c>
      <c r="ET3" s="12">
        <f>ET2+5</f>
        <v>5</v>
      </c>
      <c r="EU3" s="12">
        <f>EU2+4</f>
        <v>4</v>
      </c>
      <c r="EV3" s="12">
        <f>EV2+4</f>
        <v>4</v>
      </c>
      <c r="EW3" s="12">
        <f>EW2+3</f>
        <v>3</v>
      </c>
      <c r="EX3" s="12">
        <f>EX2+3</f>
        <v>3</v>
      </c>
      <c r="EY3" s="12">
        <f>EY2+2</f>
        <v>2</v>
      </c>
      <c r="EZ3" s="12">
        <v>3</v>
      </c>
      <c r="FD3" s="12">
        <f>Skills!K314</f>
        <v>4.9900020000000005</v>
      </c>
      <c r="FE3" s="12" t="str">
        <f>Skills!B314</f>
        <v>1-H Krush</v>
      </c>
      <c r="FH3" s="12">
        <v>10000</v>
      </c>
      <c r="FI3" s="12">
        <v>1</v>
      </c>
      <c r="FJ3" s="12">
        <v>10000</v>
      </c>
    </row>
    <row r="4" spans="1:166" ht="13.35" customHeight="1" thickBot="1" x14ac:dyDescent="0.25">
      <c r="A4" s="21">
        <f t="shared" si="1"/>
        <v>3</v>
      </c>
      <c r="B4" s="22">
        <f t="shared" si="0"/>
        <v>-9</v>
      </c>
      <c r="C4" s="21">
        <f t="shared" si="2"/>
        <v>3</v>
      </c>
      <c r="E4" s="34" t="s">
        <v>386</v>
      </c>
      <c r="F4" s="28" t="s">
        <v>967</v>
      </c>
      <c r="G4" s="28" t="s">
        <v>908</v>
      </c>
      <c r="H4" s="28" t="s">
        <v>967</v>
      </c>
      <c r="I4" s="28" t="s">
        <v>968</v>
      </c>
      <c r="J4" s="28" t="s">
        <v>908</v>
      </c>
      <c r="K4" s="28" t="s">
        <v>968</v>
      </c>
      <c r="L4" s="28" t="s">
        <v>968</v>
      </c>
      <c r="M4" s="28" t="s">
        <v>908</v>
      </c>
      <c r="N4" s="28" t="s">
        <v>908</v>
      </c>
      <c r="O4" s="28" t="s">
        <v>909</v>
      </c>
      <c r="P4" s="28" t="s">
        <v>908</v>
      </c>
      <c r="Q4" s="28" t="s">
        <v>909</v>
      </c>
      <c r="R4" s="28" t="s">
        <v>909</v>
      </c>
      <c r="S4" s="28" t="s">
        <v>968</v>
      </c>
      <c r="T4" s="28" t="s">
        <v>908</v>
      </c>
      <c r="U4" s="28" t="s">
        <v>967</v>
      </c>
      <c r="V4" s="28" t="s">
        <v>968</v>
      </c>
      <c r="W4" s="28" t="s">
        <v>914</v>
      </c>
      <c r="X4" s="28" t="s">
        <v>908</v>
      </c>
      <c r="Y4" s="28" t="s">
        <v>908</v>
      </c>
      <c r="Z4" s="28"/>
      <c r="AA4" s="28" t="s">
        <v>968</v>
      </c>
      <c r="AB4" s="28" t="s">
        <v>968</v>
      </c>
      <c r="AC4" s="28" t="s">
        <v>915</v>
      </c>
      <c r="AD4" s="28" t="s">
        <v>914</v>
      </c>
      <c r="AE4" s="28"/>
      <c r="AF4" s="28" t="s">
        <v>968</v>
      </c>
      <c r="AG4" s="28" t="s">
        <v>968</v>
      </c>
      <c r="AH4" s="28" t="s">
        <v>969</v>
      </c>
      <c r="AI4" s="28"/>
      <c r="AJ4" s="28" t="s">
        <v>967</v>
      </c>
      <c r="AK4" s="28" t="s">
        <v>909</v>
      </c>
      <c r="AL4" s="28" t="s">
        <v>909</v>
      </c>
      <c r="AM4" s="28" t="s">
        <v>909</v>
      </c>
      <c r="AN4" s="28"/>
      <c r="AO4" s="28" t="s">
        <v>968</v>
      </c>
      <c r="AP4" s="28" t="s">
        <v>909</v>
      </c>
      <c r="AQ4" s="28" t="s">
        <v>910</v>
      </c>
      <c r="AR4" s="28"/>
      <c r="AS4" s="28" t="s">
        <v>910</v>
      </c>
      <c r="AT4" s="28" t="s">
        <v>910</v>
      </c>
      <c r="AU4" s="28" t="s">
        <v>910</v>
      </c>
      <c r="AV4" s="28" t="s">
        <v>910</v>
      </c>
      <c r="AW4" s="28" t="s">
        <v>910</v>
      </c>
      <c r="AX4" s="28" t="s">
        <v>910</v>
      </c>
      <c r="AY4" s="28" t="s">
        <v>910</v>
      </c>
      <c r="AZ4" s="28" t="s">
        <v>910</v>
      </c>
      <c r="BA4" s="28" t="s">
        <v>910</v>
      </c>
      <c r="BB4" s="28" t="s">
        <v>910</v>
      </c>
      <c r="BC4" s="28" t="s">
        <v>910</v>
      </c>
      <c r="BD4" s="28" t="s">
        <v>910</v>
      </c>
      <c r="BE4" s="28" t="s">
        <v>910</v>
      </c>
      <c r="BF4" s="28" t="s">
        <v>910</v>
      </c>
      <c r="BG4" s="28" t="s">
        <v>910</v>
      </c>
      <c r="BH4" s="28" t="s">
        <v>910</v>
      </c>
      <c r="BI4" s="28" t="s">
        <v>910</v>
      </c>
      <c r="BJ4" s="28" t="s">
        <v>910</v>
      </c>
      <c r="BK4" s="28" t="s">
        <v>910</v>
      </c>
      <c r="BL4" s="28" t="s">
        <v>910</v>
      </c>
      <c r="BM4" s="28" t="s">
        <v>910</v>
      </c>
      <c r="BN4" s="28" t="s">
        <v>910</v>
      </c>
      <c r="BO4" s="28" t="s">
        <v>910</v>
      </c>
      <c r="BP4" s="28" t="s">
        <v>910</v>
      </c>
      <c r="BQ4" s="28" t="s">
        <v>910</v>
      </c>
      <c r="BR4" s="28" t="s">
        <v>910</v>
      </c>
      <c r="BS4" s="28" t="s">
        <v>910</v>
      </c>
      <c r="BT4" s="28" t="s">
        <v>910</v>
      </c>
      <c r="BU4" s="28" t="s">
        <v>910</v>
      </c>
      <c r="BV4" s="28" t="s">
        <v>910</v>
      </c>
      <c r="BW4" s="28" t="s">
        <v>910</v>
      </c>
      <c r="BX4" s="28" t="s">
        <v>910</v>
      </c>
      <c r="BY4" s="28" t="s">
        <v>910</v>
      </c>
      <c r="BZ4" s="28" t="s">
        <v>910</v>
      </c>
      <c r="CA4" s="28" t="s">
        <v>910</v>
      </c>
      <c r="CB4" s="28" t="s">
        <v>910</v>
      </c>
      <c r="CC4" s="28" t="s">
        <v>910</v>
      </c>
      <c r="CD4" s="28" t="s">
        <v>910</v>
      </c>
      <c r="CE4" s="28" t="s">
        <v>910</v>
      </c>
      <c r="CF4" s="28" t="s">
        <v>910</v>
      </c>
      <c r="CG4" s="28" t="s">
        <v>910</v>
      </c>
      <c r="CH4" s="28" t="s">
        <v>910</v>
      </c>
      <c r="CI4" s="28" t="s">
        <v>910</v>
      </c>
      <c r="CJ4" s="28" t="s">
        <v>910</v>
      </c>
      <c r="CK4" s="28" t="s">
        <v>910</v>
      </c>
      <c r="CL4" s="28" t="s">
        <v>910</v>
      </c>
      <c r="CM4" s="28" t="s">
        <v>910</v>
      </c>
      <c r="CN4" s="28" t="s">
        <v>910</v>
      </c>
      <c r="CO4" s="28" t="s">
        <v>910</v>
      </c>
      <c r="CP4" s="28" t="s">
        <v>910</v>
      </c>
      <c r="CQ4" s="28" t="s">
        <v>910</v>
      </c>
      <c r="CR4" s="28"/>
      <c r="CS4" s="28" t="s">
        <v>908</v>
      </c>
      <c r="CT4" s="28" t="s">
        <v>967</v>
      </c>
      <c r="CU4" s="28" t="s">
        <v>909</v>
      </c>
      <c r="CV4" s="28" t="s">
        <v>967</v>
      </c>
      <c r="CW4" s="28"/>
      <c r="CX4" s="28" t="s">
        <v>908</v>
      </c>
      <c r="CY4" s="28" t="s">
        <v>908</v>
      </c>
      <c r="CZ4" s="28" t="s">
        <v>908</v>
      </c>
      <c r="DA4" s="28" t="s">
        <v>908</v>
      </c>
      <c r="DB4" s="28" t="s">
        <v>908</v>
      </c>
      <c r="DC4" s="28" t="s">
        <v>908</v>
      </c>
      <c r="DD4" s="28" t="s">
        <v>908</v>
      </c>
      <c r="DE4" s="28"/>
      <c r="DF4" s="12">
        <v>3</v>
      </c>
      <c r="DH4" s="97">
        <v>2</v>
      </c>
      <c r="DI4" s="12" t="s">
        <v>1173</v>
      </c>
      <c r="DJ4" s="12">
        <v>0</v>
      </c>
      <c r="DK4" s="12">
        <v>0</v>
      </c>
      <c r="DL4" s="12">
        <v>0</v>
      </c>
      <c r="DM4" s="12">
        <v>0</v>
      </c>
      <c r="DN4" s="98">
        <v>0</v>
      </c>
      <c r="DQ4" s="35">
        <v>1</v>
      </c>
      <c r="DR4" s="21">
        <v>2</v>
      </c>
      <c r="DS4" s="21">
        <v>3</v>
      </c>
      <c r="DT4" s="32">
        <v>1</v>
      </c>
      <c r="DU4" s="21">
        <v>5</v>
      </c>
      <c r="DV4" s="31">
        <f t="shared" si="3"/>
        <v>6</v>
      </c>
      <c r="DW4" s="30">
        <f t="shared" ref="DW4:DW35" si="6">HLOOKUP($B$155,$DZ$1:$FA$202,$EZ3,0)</f>
        <v>6</v>
      </c>
      <c r="DX4" s="36">
        <v>1</v>
      </c>
      <c r="DY4" s="23">
        <v>5</v>
      </c>
      <c r="DZ4" s="12">
        <v>2</v>
      </c>
      <c r="EA4" s="12">
        <f t="shared" ref="EA4:EA12" si="7">EA3+9</f>
        <v>18</v>
      </c>
      <c r="EB4" s="12">
        <f t="shared" ref="EB4:EB11" si="8">EB3+8</f>
        <v>16</v>
      </c>
      <c r="EC4" s="12">
        <f t="shared" ref="EC4:EC11" si="9">EC3+7</f>
        <v>14</v>
      </c>
      <c r="ED4" s="12">
        <f t="shared" ref="ED4:ED11" si="10">ED3+7</f>
        <v>14</v>
      </c>
      <c r="EE4" s="12">
        <f t="shared" ref="EE4:EE11" si="11">EE3+7</f>
        <v>14</v>
      </c>
      <c r="EF4" s="12">
        <f t="shared" ref="EF4:EF11" si="12">EF3+7</f>
        <v>14</v>
      </c>
      <c r="EG4" s="12">
        <f t="shared" ref="EG4:EG11" si="13">EG3+7</f>
        <v>14</v>
      </c>
      <c r="EH4" s="12">
        <f t="shared" ref="EH4:EH11" si="14">EH3+7</f>
        <v>14</v>
      </c>
      <c r="EI4" s="12">
        <f t="shared" ref="EI4:EI11" si="15">EI3+7</f>
        <v>14</v>
      </c>
      <c r="EJ4" s="12">
        <f t="shared" ref="EJ4:EJ11" si="16">EJ3+7</f>
        <v>14</v>
      </c>
      <c r="EK4" s="12">
        <f t="shared" ref="EK4:EK11" si="17">EK3+6</f>
        <v>12</v>
      </c>
      <c r="EL4" s="12">
        <f t="shared" ref="EL4:EL11" si="18">EL3+6</f>
        <v>12</v>
      </c>
      <c r="EM4" s="12">
        <f t="shared" ref="EM4:EM11" si="19">EM3+6</f>
        <v>12</v>
      </c>
      <c r="EN4" s="12">
        <f t="shared" ref="EN4:EN11" si="20">EN3+6</f>
        <v>12</v>
      </c>
      <c r="EO4" s="12">
        <f t="shared" ref="EO4:EO11" si="21">EO3+6</f>
        <v>12</v>
      </c>
      <c r="EP4" s="12">
        <f t="shared" ref="EP4:EP11" si="22">EP3+6</f>
        <v>12</v>
      </c>
      <c r="EQ4" s="12">
        <f t="shared" ref="EQ4:EQ11" si="23">EQ3+6</f>
        <v>12</v>
      </c>
      <c r="ER4" s="12">
        <f t="shared" ref="ER4:ER11" si="24">ER3+5</f>
        <v>10</v>
      </c>
      <c r="ES4" s="12">
        <f t="shared" ref="ES4:ES11" si="25">ES3+5</f>
        <v>10</v>
      </c>
      <c r="ET4" s="12">
        <f t="shared" ref="ET4:ET11" si="26">ET3+5</f>
        <v>10</v>
      </c>
      <c r="EU4" s="12">
        <f t="shared" ref="EU4:EU11" si="27">EU3+4</f>
        <v>8</v>
      </c>
      <c r="EV4" s="12">
        <f t="shared" ref="EV4:EV11" si="28">EV3+4</f>
        <v>8</v>
      </c>
      <c r="EW4" s="12">
        <f t="shared" ref="EW4:EW11" si="29">EW3+3</f>
        <v>6</v>
      </c>
      <c r="EX4" s="12">
        <f t="shared" ref="EX4:EX11" si="30">EX3+3</f>
        <v>6</v>
      </c>
      <c r="EY4" s="12">
        <f t="shared" ref="EY4:EY11" si="31">EY3+2</f>
        <v>4</v>
      </c>
      <c r="EZ4" s="12">
        <v>4</v>
      </c>
      <c r="FD4" s="12">
        <f>Skills!K315</f>
        <v>4.9900030000000006</v>
      </c>
      <c r="FE4" s="12" t="str">
        <f>Skills!B315</f>
        <v>1-H Krush</v>
      </c>
      <c r="FH4" s="12">
        <v>20000</v>
      </c>
      <c r="FI4" s="12">
        <v>2</v>
      </c>
      <c r="FJ4" s="12">
        <v>20000</v>
      </c>
    </row>
    <row r="5" spans="1:166" ht="13.35" customHeight="1" thickBot="1" x14ac:dyDescent="0.25">
      <c r="A5" s="21">
        <f t="shared" si="1"/>
        <v>4</v>
      </c>
      <c r="B5" s="22">
        <f t="shared" si="0"/>
        <v>-8</v>
      </c>
      <c r="C5" s="21">
        <f t="shared" si="2"/>
        <v>4</v>
      </c>
      <c r="E5" s="34" t="s">
        <v>391</v>
      </c>
      <c r="F5" s="28" t="s">
        <v>908</v>
      </c>
      <c r="G5" s="28" t="s">
        <v>910</v>
      </c>
      <c r="H5" s="28" t="s">
        <v>908</v>
      </c>
      <c r="I5" s="28" t="s">
        <v>911</v>
      </c>
      <c r="J5" s="28" t="s">
        <v>910</v>
      </c>
      <c r="K5" s="28" t="s">
        <v>911</v>
      </c>
      <c r="L5" s="28" t="s">
        <v>911</v>
      </c>
      <c r="M5" s="28" t="s">
        <v>911</v>
      </c>
      <c r="N5" s="28" t="s">
        <v>911</v>
      </c>
      <c r="O5" s="28" t="s">
        <v>915</v>
      </c>
      <c r="P5" s="28" t="s">
        <v>909</v>
      </c>
      <c r="Q5" s="28" t="s">
        <v>915</v>
      </c>
      <c r="R5" s="28" t="s">
        <v>915</v>
      </c>
      <c r="S5" s="28" t="s">
        <v>911</v>
      </c>
      <c r="T5" s="28" t="s">
        <v>909</v>
      </c>
      <c r="U5" s="28" t="s">
        <v>908</v>
      </c>
      <c r="V5" s="28" t="s">
        <v>911</v>
      </c>
      <c r="W5" s="28" t="s">
        <v>911</v>
      </c>
      <c r="X5" s="28" t="s">
        <v>910</v>
      </c>
      <c r="Y5" s="28" t="s">
        <v>909</v>
      </c>
      <c r="Z5" s="28"/>
      <c r="AA5" s="28" t="s">
        <v>911</v>
      </c>
      <c r="AB5" s="28" t="s">
        <v>911</v>
      </c>
      <c r="AC5" s="28" t="s">
        <v>913</v>
      </c>
      <c r="AD5" s="28" t="s">
        <v>915</v>
      </c>
      <c r="AE5" s="28"/>
      <c r="AF5" s="28" t="s">
        <v>911</v>
      </c>
      <c r="AG5" s="28" t="s">
        <v>911</v>
      </c>
      <c r="AH5" s="28" t="s">
        <v>968</v>
      </c>
      <c r="AI5" s="28"/>
      <c r="AJ5" s="28" t="s">
        <v>910</v>
      </c>
      <c r="AK5" s="28" t="s">
        <v>915</v>
      </c>
      <c r="AL5" s="28" t="s">
        <v>915</v>
      </c>
      <c r="AM5" s="28" t="s">
        <v>915</v>
      </c>
      <c r="AN5" s="28"/>
      <c r="AO5" s="28" t="s">
        <v>911</v>
      </c>
      <c r="AP5" s="28" t="s">
        <v>915</v>
      </c>
      <c r="AQ5" s="28" t="s">
        <v>914</v>
      </c>
      <c r="AR5" s="28"/>
      <c r="AS5" s="28" t="s">
        <v>911</v>
      </c>
      <c r="AT5" s="28" t="s">
        <v>911</v>
      </c>
      <c r="AU5" s="28" t="s">
        <v>911</v>
      </c>
      <c r="AV5" s="28" t="s">
        <v>911</v>
      </c>
      <c r="AW5" s="28" t="s">
        <v>911</v>
      </c>
      <c r="AX5" s="28" t="s">
        <v>911</v>
      </c>
      <c r="AY5" s="28" t="s">
        <v>911</v>
      </c>
      <c r="AZ5" s="28" t="s">
        <v>911</v>
      </c>
      <c r="BA5" s="28" t="s">
        <v>911</v>
      </c>
      <c r="BB5" s="28" t="s">
        <v>911</v>
      </c>
      <c r="BC5" s="28" t="s">
        <v>911</v>
      </c>
      <c r="BD5" s="28" t="s">
        <v>911</v>
      </c>
      <c r="BE5" s="28" t="s">
        <v>911</v>
      </c>
      <c r="BF5" s="28" t="s">
        <v>911</v>
      </c>
      <c r="BG5" s="28" t="s">
        <v>911</v>
      </c>
      <c r="BH5" s="28" t="s">
        <v>911</v>
      </c>
      <c r="BI5" s="28" t="s">
        <v>911</v>
      </c>
      <c r="BJ5" s="28" t="s">
        <v>911</v>
      </c>
      <c r="BK5" s="28" t="s">
        <v>911</v>
      </c>
      <c r="BL5" s="28" t="s">
        <v>911</v>
      </c>
      <c r="BM5" s="28" t="s">
        <v>911</v>
      </c>
      <c r="BN5" s="28" t="s">
        <v>911</v>
      </c>
      <c r="BO5" s="28" t="s">
        <v>911</v>
      </c>
      <c r="BP5" s="28" t="s">
        <v>911</v>
      </c>
      <c r="BQ5" s="28" t="s">
        <v>911</v>
      </c>
      <c r="BR5" s="28" t="s">
        <v>911</v>
      </c>
      <c r="BS5" s="28" t="s">
        <v>911</v>
      </c>
      <c r="BT5" s="28" t="s">
        <v>911</v>
      </c>
      <c r="BU5" s="28" t="s">
        <v>911</v>
      </c>
      <c r="BV5" s="28" t="s">
        <v>911</v>
      </c>
      <c r="BW5" s="28" t="s">
        <v>911</v>
      </c>
      <c r="BX5" s="28" t="s">
        <v>911</v>
      </c>
      <c r="BY5" s="28" t="s">
        <v>911</v>
      </c>
      <c r="BZ5" s="28" t="s">
        <v>911</v>
      </c>
      <c r="CA5" s="28" t="s">
        <v>911</v>
      </c>
      <c r="CB5" s="28" t="s">
        <v>911</v>
      </c>
      <c r="CC5" s="28" t="s">
        <v>911</v>
      </c>
      <c r="CD5" s="28" t="s">
        <v>911</v>
      </c>
      <c r="CE5" s="28" t="s">
        <v>911</v>
      </c>
      <c r="CF5" s="28" t="s">
        <v>911</v>
      </c>
      <c r="CG5" s="28" t="s">
        <v>911</v>
      </c>
      <c r="CH5" s="28" t="s">
        <v>911</v>
      </c>
      <c r="CI5" s="28" t="s">
        <v>911</v>
      </c>
      <c r="CJ5" s="28" t="s">
        <v>911</v>
      </c>
      <c r="CK5" s="28" t="s">
        <v>911</v>
      </c>
      <c r="CL5" s="28" t="s">
        <v>911</v>
      </c>
      <c r="CM5" s="28" t="s">
        <v>911</v>
      </c>
      <c r="CN5" s="28" t="s">
        <v>911</v>
      </c>
      <c r="CO5" s="28" t="s">
        <v>911</v>
      </c>
      <c r="CP5" s="28" t="s">
        <v>911</v>
      </c>
      <c r="CQ5" s="28" t="s">
        <v>911</v>
      </c>
      <c r="CR5" s="28"/>
      <c r="CS5" s="28" t="s">
        <v>909</v>
      </c>
      <c r="CT5" s="28" t="s">
        <v>908</v>
      </c>
      <c r="CU5" s="28" t="s">
        <v>911</v>
      </c>
      <c r="CV5" s="28" t="s">
        <v>909</v>
      </c>
      <c r="CW5" s="28"/>
      <c r="CX5" s="28" t="s">
        <v>910</v>
      </c>
      <c r="CY5" s="28" t="s">
        <v>911</v>
      </c>
      <c r="CZ5" s="28" t="s">
        <v>911</v>
      </c>
      <c r="DA5" s="28" t="s">
        <v>909</v>
      </c>
      <c r="DB5" s="28" t="s">
        <v>909</v>
      </c>
      <c r="DC5" s="28" t="s">
        <v>911</v>
      </c>
      <c r="DD5" s="28" t="s">
        <v>909</v>
      </c>
      <c r="DE5" s="28"/>
      <c r="DF5" s="12">
        <v>4</v>
      </c>
      <c r="DH5" s="97">
        <v>3</v>
      </c>
      <c r="DI5" s="12" t="s">
        <v>1189</v>
      </c>
      <c r="DJ5" s="12">
        <v>0</v>
      </c>
      <c r="DK5" s="12">
        <v>0</v>
      </c>
      <c r="DL5" s="12">
        <v>0</v>
      </c>
      <c r="DM5" s="12">
        <v>0</v>
      </c>
      <c r="DN5" s="98">
        <v>0</v>
      </c>
      <c r="DQ5" s="35">
        <v>2</v>
      </c>
      <c r="DR5" s="21">
        <v>4</v>
      </c>
      <c r="DS5" s="21">
        <v>6</v>
      </c>
      <c r="DT5" s="21">
        <v>2</v>
      </c>
      <c r="DU5" s="21">
        <v>10</v>
      </c>
      <c r="DV5" s="31">
        <f t="shared" si="3"/>
        <v>12</v>
      </c>
      <c r="DW5" s="30">
        <f t="shared" si="6"/>
        <v>12</v>
      </c>
      <c r="DX5" s="36">
        <v>2</v>
      </c>
      <c r="DY5" s="23">
        <v>10</v>
      </c>
      <c r="DZ5" s="12">
        <v>3</v>
      </c>
      <c r="EA5" s="12">
        <f t="shared" si="7"/>
        <v>27</v>
      </c>
      <c r="EB5" s="12">
        <f t="shared" si="8"/>
        <v>24</v>
      </c>
      <c r="EC5" s="12">
        <f t="shared" si="9"/>
        <v>21</v>
      </c>
      <c r="ED5" s="12">
        <f t="shared" si="10"/>
        <v>21</v>
      </c>
      <c r="EE5" s="12">
        <f t="shared" si="11"/>
        <v>21</v>
      </c>
      <c r="EF5" s="12">
        <f t="shared" si="12"/>
        <v>21</v>
      </c>
      <c r="EG5" s="12">
        <f t="shared" si="13"/>
        <v>21</v>
      </c>
      <c r="EH5" s="12">
        <f t="shared" si="14"/>
        <v>21</v>
      </c>
      <c r="EI5" s="12">
        <f t="shared" si="15"/>
        <v>21</v>
      </c>
      <c r="EJ5" s="12">
        <f t="shared" si="16"/>
        <v>21</v>
      </c>
      <c r="EK5" s="12">
        <f t="shared" si="17"/>
        <v>18</v>
      </c>
      <c r="EL5" s="12">
        <f t="shared" si="18"/>
        <v>18</v>
      </c>
      <c r="EM5" s="12">
        <f t="shared" si="19"/>
        <v>18</v>
      </c>
      <c r="EN5" s="12">
        <f t="shared" si="20"/>
        <v>18</v>
      </c>
      <c r="EO5" s="12">
        <f t="shared" si="21"/>
        <v>18</v>
      </c>
      <c r="EP5" s="12">
        <f t="shared" si="22"/>
        <v>18</v>
      </c>
      <c r="EQ5" s="12">
        <f t="shared" si="23"/>
        <v>18</v>
      </c>
      <c r="ER5" s="12">
        <f t="shared" si="24"/>
        <v>15</v>
      </c>
      <c r="ES5" s="12">
        <f t="shared" si="25"/>
        <v>15</v>
      </c>
      <c r="ET5" s="12">
        <f t="shared" si="26"/>
        <v>15</v>
      </c>
      <c r="EU5" s="12">
        <f t="shared" si="27"/>
        <v>12</v>
      </c>
      <c r="EV5" s="12">
        <f t="shared" si="28"/>
        <v>12</v>
      </c>
      <c r="EW5" s="12">
        <f t="shared" si="29"/>
        <v>9</v>
      </c>
      <c r="EX5" s="12">
        <f t="shared" si="30"/>
        <v>9</v>
      </c>
      <c r="EY5" s="12">
        <f t="shared" si="31"/>
        <v>6</v>
      </c>
      <c r="EZ5" s="12">
        <v>5</v>
      </c>
      <c r="FD5" s="12">
        <f>Skills!K317</f>
        <v>4.9900400000000005</v>
      </c>
      <c r="FE5" s="12" t="str">
        <f>Skills!B317</f>
        <v>1-H Edged</v>
      </c>
      <c r="FH5" s="12">
        <v>30000</v>
      </c>
      <c r="FI5" s="12">
        <v>3</v>
      </c>
      <c r="FJ5" s="12">
        <v>30000</v>
      </c>
    </row>
    <row r="6" spans="1:166" ht="13.35" customHeight="1" thickBot="1" x14ac:dyDescent="0.25">
      <c r="A6" s="21">
        <f t="shared" si="1"/>
        <v>5</v>
      </c>
      <c r="B6" s="22">
        <f t="shared" si="0"/>
        <v>-8</v>
      </c>
      <c r="C6" s="21">
        <f t="shared" si="2"/>
        <v>5</v>
      </c>
      <c r="E6" s="34" t="s">
        <v>393</v>
      </c>
      <c r="F6" s="28" t="s">
        <v>972</v>
      </c>
      <c r="G6" s="28" t="s">
        <v>973</v>
      </c>
      <c r="H6" s="28" t="s">
        <v>973</v>
      </c>
      <c r="I6" s="28" t="s">
        <v>972</v>
      </c>
      <c r="J6" s="28" t="s">
        <v>972</v>
      </c>
      <c r="K6" s="28" t="s">
        <v>972</v>
      </c>
      <c r="L6" s="28" t="s">
        <v>974</v>
      </c>
      <c r="M6" s="28" t="s">
        <v>972</v>
      </c>
      <c r="N6" s="28" t="s">
        <v>972</v>
      </c>
      <c r="O6" s="28" t="s">
        <v>972</v>
      </c>
      <c r="P6" s="28" t="s">
        <v>972</v>
      </c>
      <c r="Q6" s="28" t="s">
        <v>972</v>
      </c>
      <c r="R6" s="28" t="s">
        <v>975</v>
      </c>
      <c r="S6" s="28" t="s">
        <v>972</v>
      </c>
      <c r="T6" s="28" t="s">
        <v>976</v>
      </c>
      <c r="U6" s="28" t="s">
        <v>972</v>
      </c>
      <c r="V6" s="28" t="s">
        <v>972</v>
      </c>
      <c r="W6" s="28" t="s">
        <v>973</v>
      </c>
      <c r="X6" s="28" t="s">
        <v>977</v>
      </c>
      <c r="Y6" s="28" t="s">
        <v>973</v>
      </c>
      <c r="Z6" s="28"/>
      <c r="AA6" s="28" t="s">
        <v>972</v>
      </c>
      <c r="AB6" s="28" t="s">
        <v>972</v>
      </c>
      <c r="AC6" s="28" t="s">
        <v>972</v>
      </c>
      <c r="AD6" s="28" t="s">
        <v>972</v>
      </c>
      <c r="AE6" s="28"/>
      <c r="AF6" s="28" t="s">
        <v>972</v>
      </c>
      <c r="AG6" s="28" t="s">
        <v>972</v>
      </c>
      <c r="AH6" s="28" t="s">
        <v>972</v>
      </c>
      <c r="AI6" s="28"/>
      <c r="AJ6" s="28" t="s">
        <v>972</v>
      </c>
      <c r="AK6" s="28" t="s">
        <v>975</v>
      </c>
      <c r="AL6" s="28" t="s">
        <v>973</v>
      </c>
      <c r="AM6" s="28" t="s">
        <v>972</v>
      </c>
      <c r="AN6" s="28"/>
      <c r="AO6" s="28" t="s">
        <v>972</v>
      </c>
      <c r="AP6" s="28" t="s">
        <v>972</v>
      </c>
      <c r="AQ6" s="28" t="s">
        <v>972</v>
      </c>
      <c r="AR6" s="28"/>
      <c r="AS6" s="28" t="s">
        <v>972</v>
      </c>
      <c r="AT6" s="28" t="s">
        <v>972</v>
      </c>
      <c r="AU6" s="28" t="s">
        <v>972</v>
      </c>
      <c r="AV6" s="28" t="s">
        <v>972</v>
      </c>
      <c r="AW6" s="28" t="s">
        <v>972</v>
      </c>
      <c r="AX6" s="28" t="s">
        <v>972</v>
      </c>
      <c r="AY6" s="28" t="s">
        <v>972</v>
      </c>
      <c r="AZ6" s="28" t="s">
        <v>972</v>
      </c>
      <c r="BA6" s="28" t="s">
        <v>972</v>
      </c>
      <c r="BB6" s="28" t="s">
        <v>972</v>
      </c>
      <c r="BC6" s="28" t="s">
        <v>972</v>
      </c>
      <c r="BD6" s="28" t="s">
        <v>972</v>
      </c>
      <c r="BE6" s="28" t="s">
        <v>972</v>
      </c>
      <c r="BF6" s="28" t="s">
        <v>972</v>
      </c>
      <c r="BG6" s="28" t="s">
        <v>972</v>
      </c>
      <c r="BH6" s="28" t="s">
        <v>972</v>
      </c>
      <c r="BI6" s="28" t="s">
        <v>972</v>
      </c>
      <c r="BJ6" s="28" t="s">
        <v>972</v>
      </c>
      <c r="BK6" s="28" t="s">
        <v>972</v>
      </c>
      <c r="BL6" s="28" t="s">
        <v>972</v>
      </c>
      <c r="BM6" s="28" t="s">
        <v>972</v>
      </c>
      <c r="BN6" s="28" t="s">
        <v>972</v>
      </c>
      <c r="BO6" s="28" t="s">
        <v>972</v>
      </c>
      <c r="BP6" s="28" t="s">
        <v>972</v>
      </c>
      <c r="BQ6" s="28" t="s">
        <v>972</v>
      </c>
      <c r="BR6" s="28" t="s">
        <v>972</v>
      </c>
      <c r="BS6" s="28" t="s">
        <v>972</v>
      </c>
      <c r="BT6" s="28" t="s">
        <v>972</v>
      </c>
      <c r="BU6" s="28" t="s">
        <v>972</v>
      </c>
      <c r="BV6" s="28" t="s">
        <v>972</v>
      </c>
      <c r="BW6" s="28" t="s">
        <v>972</v>
      </c>
      <c r="BX6" s="28" t="s">
        <v>972</v>
      </c>
      <c r="BY6" s="28" t="s">
        <v>972</v>
      </c>
      <c r="BZ6" s="28" t="s">
        <v>972</v>
      </c>
      <c r="CA6" s="28" t="s">
        <v>972</v>
      </c>
      <c r="CB6" s="28" t="s">
        <v>972</v>
      </c>
      <c r="CC6" s="28" t="s">
        <v>972</v>
      </c>
      <c r="CD6" s="28" t="s">
        <v>972</v>
      </c>
      <c r="CE6" s="28" t="s">
        <v>972</v>
      </c>
      <c r="CF6" s="28" t="s">
        <v>972</v>
      </c>
      <c r="CG6" s="28" t="s">
        <v>972</v>
      </c>
      <c r="CH6" s="28" t="s">
        <v>972</v>
      </c>
      <c r="CI6" s="28" t="s">
        <v>972</v>
      </c>
      <c r="CJ6" s="28" t="s">
        <v>972</v>
      </c>
      <c r="CK6" s="28" t="s">
        <v>972</v>
      </c>
      <c r="CL6" s="28" t="s">
        <v>972</v>
      </c>
      <c r="CM6" s="28" t="s">
        <v>972</v>
      </c>
      <c r="CN6" s="28" t="s">
        <v>972</v>
      </c>
      <c r="CO6" s="28" t="s">
        <v>972</v>
      </c>
      <c r="CP6" s="28" t="s">
        <v>972</v>
      </c>
      <c r="CQ6" s="28" t="s">
        <v>972</v>
      </c>
      <c r="CR6" s="28"/>
      <c r="CS6" s="28" t="s">
        <v>972</v>
      </c>
      <c r="CT6" s="28" t="s">
        <v>972</v>
      </c>
      <c r="CU6" s="28" t="s">
        <v>972</v>
      </c>
      <c r="CV6" s="28" t="s">
        <v>973</v>
      </c>
      <c r="CW6" s="28"/>
      <c r="CX6" s="28" t="s">
        <v>972</v>
      </c>
      <c r="CY6" s="28" t="s">
        <v>972</v>
      </c>
      <c r="CZ6" s="28" t="s">
        <v>972</v>
      </c>
      <c r="DA6" s="28" t="s">
        <v>972</v>
      </c>
      <c r="DB6" s="28" t="s">
        <v>972</v>
      </c>
      <c r="DC6" s="28" t="s">
        <v>972</v>
      </c>
      <c r="DD6" s="28" t="s">
        <v>972</v>
      </c>
      <c r="DE6" s="28"/>
      <c r="DF6" s="12">
        <v>5</v>
      </c>
      <c r="DH6" s="97">
        <v>4</v>
      </c>
      <c r="DI6" s="12" t="s">
        <v>1203</v>
      </c>
      <c r="DJ6" s="12">
        <v>0</v>
      </c>
      <c r="DK6" s="12">
        <v>0</v>
      </c>
      <c r="DL6" s="12">
        <v>0</v>
      </c>
      <c r="DM6" s="12">
        <v>0</v>
      </c>
      <c r="DN6" s="98">
        <v>0</v>
      </c>
      <c r="DQ6" s="35">
        <v>3</v>
      </c>
      <c r="DR6" s="21">
        <v>6</v>
      </c>
      <c r="DS6" s="21">
        <v>9</v>
      </c>
      <c r="DT6" s="21">
        <v>3</v>
      </c>
      <c r="DU6" s="21">
        <v>15</v>
      </c>
      <c r="DV6" s="31">
        <f t="shared" si="3"/>
        <v>18</v>
      </c>
      <c r="DW6" s="30">
        <f t="shared" si="6"/>
        <v>18</v>
      </c>
      <c r="DX6" s="36">
        <v>3</v>
      </c>
      <c r="DY6" s="23">
        <v>15</v>
      </c>
      <c r="DZ6" s="12">
        <v>4</v>
      </c>
      <c r="EA6" s="12">
        <f t="shared" si="7"/>
        <v>36</v>
      </c>
      <c r="EB6" s="12">
        <f t="shared" si="8"/>
        <v>32</v>
      </c>
      <c r="EC6" s="12">
        <f t="shared" si="9"/>
        <v>28</v>
      </c>
      <c r="ED6" s="12">
        <f t="shared" si="10"/>
        <v>28</v>
      </c>
      <c r="EE6" s="12">
        <f t="shared" si="11"/>
        <v>28</v>
      </c>
      <c r="EF6" s="12">
        <f t="shared" si="12"/>
        <v>28</v>
      </c>
      <c r="EG6" s="12">
        <f t="shared" si="13"/>
        <v>28</v>
      </c>
      <c r="EH6" s="12">
        <f t="shared" si="14"/>
        <v>28</v>
      </c>
      <c r="EI6" s="12">
        <f t="shared" si="15"/>
        <v>28</v>
      </c>
      <c r="EJ6" s="12">
        <f t="shared" si="16"/>
        <v>28</v>
      </c>
      <c r="EK6" s="12">
        <f t="shared" si="17"/>
        <v>24</v>
      </c>
      <c r="EL6" s="12">
        <f t="shared" si="18"/>
        <v>24</v>
      </c>
      <c r="EM6" s="12">
        <f t="shared" si="19"/>
        <v>24</v>
      </c>
      <c r="EN6" s="12">
        <f t="shared" si="20"/>
        <v>24</v>
      </c>
      <c r="EO6" s="12">
        <f t="shared" si="21"/>
        <v>24</v>
      </c>
      <c r="EP6" s="12">
        <f t="shared" si="22"/>
        <v>24</v>
      </c>
      <c r="EQ6" s="12">
        <f t="shared" si="23"/>
        <v>24</v>
      </c>
      <c r="ER6" s="12">
        <f t="shared" si="24"/>
        <v>20</v>
      </c>
      <c r="ES6" s="12">
        <f t="shared" si="25"/>
        <v>20</v>
      </c>
      <c r="ET6" s="12">
        <f t="shared" si="26"/>
        <v>20</v>
      </c>
      <c r="EU6" s="12">
        <f t="shared" si="27"/>
        <v>16</v>
      </c>
      <c r="EV6" s="12">
        <f t="shared" si="28"/>
        <v>16</v>
      </c>
      <c r="EW6" s="12">
        <f t="shared" si="29"/>
        <v>12</v>
      </c>
      <c r="EX6" s="12">
        <f t="shared" si="30"/>
        <v>12</v>
      </c>
      <c r="EY6" s="12">
        <f t="shared" si="31"/>
        <v>8</v>
      </c>
      <c r="EZ6" s="12">
        <v>6</v>
      </c>
      <c r="FD6" s="12">
        <f>Skills!K318</f>
        <v>4.9900500000000001</v>
      </c>
      <c r="FE6" s="12" t="str">
        <f>Skills!B318</f>
        <v>1-H Edged</v>
      </c>
      <c r="FH6" s="12">
        <v>40000</v>
      </c>
      <c r="FI6" s="12">
        <v>4</v>
      </c>
      <c r="FJ6" s="12">
        <v>40000</v>
      </c>
    </row>
    <row r="7" spans="1:166" ht="13.35" customHeight="1" thickBot="1" x14ac:dyDescent="0.25">
      <c r="A7" s="21">
        <f t="shared" si="1"/>
        <v>6</v>
      </c>
      <c r="B7" s="22">
        <f t="shared" si="0"/>
        <v>-7</v>
      </c>
      <c r="C7" s="21">
        <f t="shared" si="2"/>
        <v>6</v>
      </c>
      <c r="E7" s="34" t="s">
        <v>406</v>
      </c>
      <c r="F7" s="28" t="s">
        <v>972</v>
      </c>
      <c r="G7" s="28" t="s">
        <v>972</v>
      </c>
      <c r="H7" s="28" t="s">
        <v>972</v>
      </c>
      <c r="I7" s="28" t="s">
        <v>972</v>
      </c>
      <c r="J7" s="28" t="s">
        <v>972</v>
      </c>
      <c r="K7" s="28" t="s">
        <v>972</v>
      </c>
      <c r="L7" s="28" t="s">
        <v>972</v>
      </c>
      <c r="M7" s="28" t="s">
        <v>972</v>
      </c>
      <c r="N7" s="28" t="s">
        <v>972</v>
      </c>
      <c r="O7" s="28" t="s">
        <v>972</v>
      </c>
      <c r="P7" s="28" t="s">
        <v>972</v>
      </c>
      <c r="Q7" s="28" t="s">
        <v>972</v>
      </c>
      <c r="R7" s="28" t="s">
        <v>972</v>
      </c>
      <c r="S7" s="28" t="s">
        <v>972</v>
      </c>
      <c r="T7" s="28" t="s">
        <v>976</v>
      </c>
      <c r="U7" s="28" t="s">
        <v>972</v>
      </c>
      <c r="V7" s="28" t="s">
        <v>972</v>
      </c>
      <c r="W7" s="28" t="s">
        <v>972</v>
      </c>
      <c r="X7" s="28" t="s">
        <v>980</v>
      </c>
      <c r="Y7" s="28" t="s">
        <v>972</v>
      </c>
      <c r="Z7" s="28"/>
      <c r="AA7" s="28" t="s">
        <v>972</v>
      </c>
      <c r="AB7" s="28" t="s">
        <v>972</v>
      </c>
      <c r="AC7" s="28" t="s">
        <v>972</v>
      </c>
      <c r="AD7" s="28" t="s">
        <v>972</v>
      </c>
      <c r="AE7" s="28"/>
      <c r="AF7" s="28" t="s">
        <v>974</v>
      </c>
      <c r="AG7" s="28" t="s">
        <v>974</v>
      </c>
      <c r="AH7" s="28" t="s">
        <v>972</v>
      </c>
      <c r="AI7" s="28"/>
      <c r="AJ7" s="28" t="s">
        <v>972</v>
      </c>
      <c r="AK7" s="28" t="s">
        <v>972</v>
      </c>
      <c r="AL7" s="28" t="s">
        <v>973</v>
      </c>
      <c r="AM7" s="28" t="s">
        <v>972</v>
      </c>
      <c r="AN7" s="28"/>
      <c r="AO7" s="28" t="s">
        <v>972</v>
      </c>
      <c r="AP7" s="28" t="s">
        <v>972</v>
      </c>
      <c r="AQ7" s="28" t="s">
        <v>972</v>
      </c>
      <c r="AR7" s="28"/>
      <c r="AS7" s="28" t="s">
        <v>972</v>
      </c>
      <c r="AT7" s="28" t="s">
        <v>972</v>
      </c>
      <c r="AU7" s="28" t="s">
        <v>972</v>
      </c>
      <c r="AV7" s="28" t="s">
        <v>972</v>
      </c>
      <c r="AW7" s="28" t="s">
        <v>972</v>
      </c>
      <c r="AX7" s="28" t="s">
        <v>972</v>
      </c>
      <c r="AY7" s="28" t="s">
        <v>972</v>
      </c>
      <c r="AZ7" s="28" t="s">
        <v>972</v>
      </c>
      <c r="BA7" s="28" t="s">
        <v>972</v>
      </c>
      <c r="BB7" s="28" t="s">
        <v>972</v>
      </c>
      <c r="BC7" s="28" t="s">
        <v>972</v>
      </c>
      <c r="BD7" s="28" t="s">
        <v>972</v>
      </c>
      <c r="BE7" s="28" t="s">
        <v>972</v>
      </c>
      <c r="BF7" s="28" t="s">
        <v>972</v>
      </c>
      <c r="BG7" s="28" t="s">
        <v>972</v>
      </c>
      <c r="BH7" s="28" t="s">
        <v>972</v>
      </c>
      <c r="BI7" s="28" t="s">
        <v>972</v>
      </c>
      <c r="BJ7" s="28" t="s">
        <v>972</v>
      </c>
      <c r="BK7" s="28" t="s">
        <v>972</v>
      </c>
      <c r="BL7" s="28" t="s">
        <v>972</v>
      </c>
      <c r="BM7" s="28" t="s">
        <v>972</v>
      </c>
      <c r="BN7" s="28" t="s">
        <v>972</v>
      </c>
      <c r="BO7" s="28" t="s">
        <v>972</v>
      </c>
      <c r="BP7" s="28" t="s">
        <v>972</v>
      </c>
      <c r="BQ7" s="28" t="s">
        <v>972</v>
      </c>
      <c r="BR7" s="28" t="s">
        <v>972</v>
      </c>
      <c r="BS7" s="28" t="s">
        <v>972</v>
      </c>
      <c r="BT7" s="28" t="s">
        <v>972</v>
      </c>
      <c r="BU7" s="28" t="s">
        <v>972</v>
      </c>
      <c r="BV7" s="28" t="s">
        <v>972</v>
      </c>
      <c r="BW7" s="28" t="s">
        <v>972</v>
      </c>
      <c r="BX7" s="28" t="s">
        <v>972</v>
      </c>
      <c r="BY7" s="28" t="s">
        <v>972</v>
      </c>
      <c r="BZ7" s="28" t="s">
        <v>972</v>
      </c>
      <c r="CA7" s="28" t="s">
        <v>972</v>
      </c>
      <c r="CB7" s="28" t="s">
        <v>972</v>
      </c>
      <c r="CC7" s="28" t="s">
        <v>972</v>
      </c>
      <c r="CD7" s="28" t="s">
        <v>972</v>
      </c>
      <c r="CE7" s="28" t="s">
        <v>972</v>
      </c>
      <c r="CF7" s="28" t="s">
        <v>972</v>
      </c>
      <c r="CG7" s="28" t="s">
        <v>972</v>
      </c>
      <c r="CH7" s="28" t="s">
        <v>972</v>
      </c>
      <c r="CI7" s="28" t="s">
        <v>972</v>
      </c>
      <c r="CJ7" s="28" t="s">
        <v>972</v>
      </c>
      <c r="CK7" s="28" t="s">
        <v>972</v>
      </c>
      <c r="CL7" s="28" t="s">
        <v>972</v>
      </c>
      <c r="CM7" s="28" t="s">
        <v>972</v>
      </c>
      <c r="CN7" s="28" t="s">
        <v>972</v>
      </c>
      <c r="CO7" s="28" t="s">
        <v>972</v>
      </c>
      <c r="CP7" s="28" t="s">
        <v>972</v>
      </c>
      <c r="CQ7" s="28" t="s">
        <v>972</v>
      </c>
      <c r="CR7" s="28"/>
      <c r="CS7" s="28" t="s">
        <v>972</v>
      </c>
      <c r="CT7" s="28" t="s">
        <v>972</v>
      </c>
      <c r="CU7" s="28" t="s">
        <v>973</v>
      </c>
      <c r="CV7" s="28" t="s">
        <v>973</v>
      </c>
      <c r="CW7" s="28"/>
      <c r="CX7" s="28" t="s">
        <v>972</v>
      </c>
      <c r="CY7" s="28" t="s">
        <v>972</v>
      </c>
      <c r="CZ7" s="28" t="s">
        <v>972</v>
      </c>
      <c r="DA7" s="28" t="s">
        <v>972</v>
      </c>
      <c r="DB7" s="28" t="s">
        <v>972</v>
      </c>
      <c r="DC7" s="28" t="s">
        <v>972</v>
      </c>
      <c r="DD7" s="28" t="s">
        <v>972</v>
      </c>
      <c r="DE7" s="28"/>
      <c r="DF7" s="12">
        <v>6</v>
      </c>
      <c r="DH7" s="97">
        <v>5</v>
      </c>
      <c r="DI7" s="12" t="s">
        <v>1215</v>
      </c>
      <c r="DJ7" s="12">
        <v>0</v>
      </c>
      <c r="DK7" s="12">
        <v>0</v>
      </c>
      <c r="DL7" s="12">
        <v>0</v>
      </c>
      <c r="DM7" s="12">
        <v>0</v>
      </c>
      <c r="DN7" s="98">
        <v>1</v>
      </c>
      <c r="DQ7" s="35">
        <v>4</v>
      </c>
      <c r="DR7" s="21">
        <v>8</v>
      </c>
      <c r="DS7" s="21">
        <v>12</v>
      </c>
      <c r="DT7" s="21">
        <v>4</v>
      </c>
      <c r="DU7" s="21">
        <v>20</v>
      </c>
      <c r="DV7" s="31">
        <f t="shared" si="3"/>
        <v>24</v>
      </c>
      <c r="DW7" s="30">
        <f t="shared" si="6"/>
        <v>24</v>
      </c>
      <c r="DX7" s="36">
        <v>4</v>
      </c>
      <c r="DY7" s="23">
        <v>20</v>
      </c>
      <c r="DZ7" s="12">
        <v>5</v>
      </c>
      <c r="EA7" s="12">
        <f t="shared" si="7"/>
        <v>45</v>
      </c>
      <c r="EB7" s="12">
        <f t="shared" si="8"/>
        <v>40</v>
      </c>
      <c r="EC7" s="12">
        <f t="shared" si="9"/>
        <v>35</v>
      </c>
      <c r="ED7" s="12">
        <f t="shared" si="10"/>
        <v>35</v>
      </c>
      <c r="EE7" s="12">
        <f t="shared" si="11"/>
        <v>35</v>
      </c>
      <c r="EF7" s="12">
        <f t="shared" si="12"/>
        <v>35</v>
      </c>
      <c r="EG7" s="12">
        <f t="shared" si="13"/>
        <v>35</v>
      </c>
      <c r="EH7" s="12">
        <f t="shared" si="14"/>
        <v>35</v>
      </c>
      <c r="EI7" s="12">
        <f t="shared" si="15"/>
        <v>35</v>
      </c>
      <c r="EJ7" s="12">
        <f t="shared" si="16"/>
        <v>35</v>
      </c>
      <c r="EK7" s="12">
        <f t="shared" si="17"/>
        <v>30</v>
      </c>
      <c r="EL7" s="12">
        <f t="shared" si="18"/>
        <v>30</v>
      </c>
      <c r="EM7" s="12">
        <f t="shared" si="19"/>
        <v>30</v>
      </c>
      <c r="EN7" s="12">
        <f t="shared" si="20"/>
        <v>30</v>
      </c>
      <c r="EO7" s="12">
        <f t="shared" si="21"/>
        <v>30</v>
      </c>
      <c r="EP7" s="12">
        <f t="shared" si="22"/>
        <v>30</v>
      </c>
      <c r="EQ7" s="12">
        <f t="shared" si="23"/>
        <v>30</v>
      </c>
      <c r="ER7" s="12">
        <f t="shared" si="24"/>
        <v>25</v>
      </c>
      <c r="ES7" s="12">
        <f t="shared" si="25"/>
        <v>25</v>
      </c>
      <c r="ET7" s="12">
        <f t="shared" si="26"/>
        <v>25</v>
      </c>
      <c r="EU7" s="12">
        <f t="shared" si="27"/>
        <v>20</v>
      </c>
      <c r="EV7" s="12">
        <f t="shared" si="28"/>
        <v>20</v>
      </c>
      <c r="EW7" s="12">
        <f t="shared" si="29"/>
        <v>15</v>
      </c>
      <c r="EX7" s="12">
        <f t="shared" si="30"/>
        <v>15</v>
      </c>
      <c r="EY7" s="12">
        <f t="shared" si="31"/>
        <v>10</v>
      </c>
      <c r="EZ7" s="12">
        <v>7</v>
      </c>
      <c r="FD7" s="12">
        <f>Skills!K319</f>
        <v>4.9900600000000006</v>
      </c>
      <c r="FE7" s="12" t="str">
        <f>Skills!B319</f>
        <v>1-H Edged</v>
      </c>
      <c r="FH7" s="12">
        <v>50000</v>
      </c>
      <c r="FI7" s="12">
        <v>5</v>
      </c>
      <c r="FJ7" s="12">
        <v>50000</v>
      </c>
    </row>
    <row r="8" spans="1:166" ht="13.35" customHeight="1" thickBot="1" x14ac:dyDescent="0.25">
      <c r="A8" s="21">
        <f t="shared" si="1"/>
        <v>7</v>
      </c>
      <c r="B8" s="22">
        <f t="shared" si="0"/>
        <v>-7</v>
      </c>
      <c r="C8" s="21">
        <f t="shared" si="2"/>
        <v>7</v>
      </c>
      <c r="E8" s="27" t="s">
        <v>415</v>
      </c>
      <c r="F8" s="28" t="s">
        <v>972</v>
      </c>
      <c r="G8" s="28" t="s">
        <v>982</v>
      </c>
      <c r="H8" s="28" t="s">
        <v>976</v>
      </c>
      <c r="I8" s="28" t="s">
        <v>972</v>
      </c>
      <c r="J8" s="28" t="s">
        <v>982</v>
      </c>
      <c r="K8" s="28" t="s">
        <v>983</v>
      </c>
      <c r="L8" s="28" t="s">
        <v>984</v>
      </c>
      <c r="M8" s="28" t="s">
        <v>985</v>
      </c>
      <c r="N8" s="28" t="s">
        <v>986</v>
      </c>
      <c r="O8" s="28" t="s">
        <v>985</v>
      </c>
      <c r="P8" s="28" t="s">
        <v>983</v>
      </c>
      <c r="Q8" s="28" t="s">
        <v>983</v>
      </c>
      <c r="R8" s="28" t="s">
        <v>984</v>
      </c>
      <c r="S8" s="28" t="s">
        <v>984</v>
      </c>
      <c r="T8" s="28" t="s">
        <v>987</v>
      </c>
      <c r="U8" s="28" t="s">
        <v>987</v>
      </c>
      <c r="V8" s="28" t="s">
        <v>987</v>
      </c>
      <c r="W8" s="28" t="s">
        <v>988</v>
      </c>
      <c r="X8" s="28" t="s">
        <v>989</v>
      </c>
      <c r="Y8" s="28" t="s">
        <v>988</v>
      </c>
      <c r="Z8" s="28"/>
      <c r="AA8" s="28" t="s">
        <v>984</v>
      </c>
      <c r="AB8" s="28" t="s">
        <v>984</v>
      </c>
      <c r="AC8" s="28" t="s">
        <v>982</v>
      </c>
      <c r="AD8" s="28" t="s">
        <v>982</v>
      </c>
      <c r="AE8" s="28"/>
      <c r="AF8" s="28" t="s">
        <v>983</v>
      </c>
      <c r="AG8" s="28" t="s">
        <v>984</v>
      </c>
      <c r="AH8" s="28" t="s">
        <v>987</v>
      </c>
      <c r="AI8" s="28"/>
      <c r="AJ8" s="28" t="s">
        <v>987</v>
      </c>
      <c r="AK8" s="28" t="s">
        <v>984</v>
      </c>
      <c r="AL8" s="28" t="s">
        <v>985</v>
      </c>
      <c r="AM8" s="28" t="s">
        <v>984</v>
      </c>
      <c r="AN8" s="28"/>
      <c r="AO8" s="28" t="s">
        <v>984</v>
      </c>
      <c r="AP8" s="28" t="s">
        <v>984</v>
      </c>
      <c r="AQ8" s="28" t="s">
        <v>987</v>
      </c>
      <c r="AR8" s="28"/>
      <c r="AS8" s="28" t="s">
        <v>985</v>
      </c>
      <c r="AT8" s="28" t="s">
        <v>985</v>
      </c>
      <c r="AU8" s="28" t="s">
        <v>985</v>
      </c>
      <c r="AV8" s="28" t="s">
        <v>985</v>
      </c>
      <c r="AW8" s="28" t="s">
        <v>985</v>
      </c>
      <c r="AX8" s="28" t="s">
        <v>985</v>
      </c>
      <c r="AY8" s="28" t="s">
        <v>985</v>
      </c>
      <c r="AZ8" s="28" t="s">
        <v>985</v>
      </c>
      <c r="BA8" s="28" t="s">
        <v>985</v>
      </c>
      <c r="BB8" s="28" t="s">
        <v>985</v>
      </c>
      <c r="BC8" s="28" t="s">
        <v>985</v>
      </c>
      <c r="BD8" s="28" t="s">
        <v>985</v>
      </c>
      <c r="BE8" s="28" t="s">
        <v>985</v>
      </c>
      <c r="BF8" s="28" t="s">
        <v>985</v>
      </c>
      <c r="BG8" s="28" t="s">
        <v>985</v>
      </c>
      <c r="BH8" s="28" t="s">
        <v>985</v>
      </c>
      <c r="BI8" s="28" t="s">
        <v>985</v>
      </c>
      <c r="BJ8" s="28" t="s">
        <v>985</v>
      </c>
      <c r="BK8" s="28" t="s">
        <v>985</v>
      </c>
      <c r="BL8" s="28" t="s">
        <v>985</v>
      </c>
      <c r="BM8" s="28" t="s">
        <v>985</v>
      </c>
      <c r="BN8" s="28" t="s">
        <v>985</v>
      </c>
      <c r="BO8" s="28" t="s">
        <v>985</v>
      </c>
      <c r="BP8" s="28" t="s">
        <v>985</v>
      </c>
      <c r="BQ8" s="28" t="s">
        <v>985</v>
      </c>
      <c r="BR8" s="28" t="s">
        <v>985</v>
      </c>
      <c r="BS8" s="28" t="s">
        <v>985</v>
      </c>
      <c r="BT8" s="28" t="s">
        <v>985</v>
      </c>
      <c r="BU8" s="28" t="s">
        <v>985</v>
      </c>
      <c r="BV8" s="28" t="s">
        <v>985</v>
      </c>
      <c r="BW8" s="28" t="s">
        <v>985</v>
      </c>
      <c r="BX8" s="28" t="s">
        <v>985</v>
      </c>
      <c r="BY8" s="28" t="s">
        <v>985</v>
      </c>
      <c r="BZ8" s="28" t="s">
        <v>985</v>
      </c>
      <c r="CA8" s="28" t="s">
        <v>985</v>
      </c>
      <c r="CB8" s="28" t="s">
        <v>985</v>
      </c>
      <c r="CC8" s="28" t="s">
        <v>985</v>
      </c>
      <c r="CD8" s="28" t="s">
        <v>985</v>
      </c>
      <c r="CE8" s="28" t="s">
        <v>985</v>
      </c>
      <c r="CF8" s="28" t="s">
        <v>985</v>
      </c>
      <c r="CG8" s="28" t="s">
        <v>985</v>
      </c>
      <c r="CH8" s="28" t="s">
        <v>985</v>
      </c>
      <c r="CI8" s="28" t="s">
        <v>985</v>
      </c>
      <c r="CJ8" s="28" t="s">
        <v>985</v>
      </c>
      <c r="CK8" s="28" t="s">
        <v>985</v>
      </c>
      <c r="CL8" s="28" t="s">
        <v>985</v>
      </c>
      <c r="CM8" s="28" t="s">
        <v>985</v>
      </c>
      <c r="CN8" s="28" t="s">
        <v>985</v>
      </c>
      <c r="CO8" s="28" t="s">
        <v>985</v>
      </c>
      <c r="CP8" s="28" t="s">
        <v>985</v>
      </c>
      <c r="CQ8" s="28" t="s">
        <v>985</v>
      </c>
      <c r="CR8" s="28"/>
      <c r="CS8" s="28" t="s">
        <v>973</v>
      </c>
      <c r="CT8" s="28" t="s">
        <v>972</v>
      </c>
      <c r="CU8" s="28" t="s">
        <v>982</v>
      </c>
      <c r="CV8" s="28" t="s">
        <v>976</v>
      </c>
      <c r="CW8" s="28"/>
      <c r="CX8" s="28" t="s">
        <v>987</v>
      </c>
      <c r="CY8" s="28" t="s">
        <v>985</v>
      </c>
      <c r="CZ8" s="28" t="s">
        <v>986</v>
      </c>
      <c r="DA8" s="28" t="s">
        <v>973</v>
      </c>
      <c r="DB8" s="28" t="s">
        <v>990</v>
      </c>
      <c r="DC8" s="28" t="s">
        <v>990</v>
      </c>
      <c r="DD8" s="28" t="s">
        <v>990</v>
      </c>
      <c r="DE8" s="28"/>
      <c r="DF8" s="12">
        <v>7</v>
      </c>
      <c r="DH8" s="97">
        <v>6</v>
      </c>
      <c r="DI8" s="12" t="s">
        <v>1227</v>
      </c>
      <c r="DJ8" s="12">
        <v>0</v>
      </c>
      <c r="DK8" s="12">
        <v>-20</v>
      </c>
      <c r="DL8" s="12">
        <v>5</v>
      </c>
      <c r="DM8" s="12">
        <v>0</v>
      </c>
      <c r="DN8" s="98">
        <v>1</v>
      </c>
      <c r="DQ8" s="35">
        <v>5</v>
      </c>
      <c r="DR8" s="21">
        <v>10</v>
      </c>
      <c r="DS8" s="21">
        <v>15</v>
      </c>
      <c r="DT8" s="21">
        <v>5</v>
      </c>
      <c r="DU8" s="21">
        <v>25</v>
      </c>
      <c r="DV8" s="31">
        <f t="shared" si="3"/>
        <v>30</v>
      </c>
      <c r="DW8" s="30">
        <f t="shared" si="6"/>
        <v>30</v>
      </c>
      <c r="DX8" s="36">
        <v>5</v>
      </c>
      <c r="DY8" s="23">
        <v>25</v>
      </c>
      <c r="DZ8" s="12">
        <v>6</v>
      </c>
      <c r="EA8" s="12">
        <f t="shared" si="7"/>
        <v>54</v>
      </c>
      <c r="EB8" s="12">
        <f t="shared" si="8"/>
        <v>48</v>
      </c>
      <c r="EC8" s="12">
        <f t="shared" si="9"/>
        <v>42</v>
      </c>
      <c r="ED8" s="12">
        <f t="shared" si="10"/>
        <v>42</v>
      </c>
      <c r="EE8" s="12">
        <f t="shared" si="11"/>
        <v>42</v>
      </c>
      <c r="EF8" s="12">
        <f t="shared" si="12"/>
        <v>42</v>
      </c>
      <c r="EG8" s="12">
        <f t="shared" si="13"/>
        <v>42</v>
      </c>
      <c r="EH8" s="12">
        <f t="shared" si="14"/>
        <v>42</v>
      </c>
      <c r="EI8" s="12">
        <f t="shared" si="15"/>
        <v>42</v>
      </c>
      <c r="EJ8" s="12">
        <f t="shared" si="16"/>
        <v>42</v>
      </c>
      <c r="EK8" s="12">
        <f t="shared" si="17"/>
        <v>36</v>
      </c>
      <c r="EL8" s="12">
        <f t="shared" si="18"/>
        <v>36</v>
      </c>
      <c r="EM8" s="12">
        <f t="shared" si="19"/>
        <v>36</v>
      </c>
      <c r="EN8" s="12">
        <f t="shared" si="20"/>
        <v>36</v>
      </c>
      <c r="EO8" s="12">
        <f t="shared" si="21"/>
        <v>36</v>
      </c>
      <c r="EP8" s="12">
        <f t="shared" si="22"/>
        <v>36</v>
      </c>
      <c r="EQ8" s="12">
        <f t="shared" si="23"/>
        <v>36</v>
      </c>
      <c r="ER8" s="12">
        <f t="shared" si="24"/>
        <v>30</v>
      </c>
      <c r="ES8" s="12">
        <f t="shared" si="25"/>
        <v>30</v>
      </c>
      <c r="ET8" s="12">
        <f t="shared" si="26"/>
        <v>30</v>
      </c>
      <c r="EU8" s="12">
        <f t="shared" si="27"/>
        <v>24</v>
      </c>
      <c r="EV8" s="12">
        <f t="shared" si="28"/>
        <v>24</v>
      </c>
      <c r="EW8" s="12">
        <f t="shared" si="29"/>
        <v>18</v>
      </c>
      <c r="EX8" s="12">
        <f t="shared" si="30"/>
        <v>18</v>
      </c>
      <c r="EY8" s="12">
        <f t="shared" si="31"/>
        <v>12</v>
      </c>
      <c r="EZ8" s="12">
        <v>8</v>
      </c>
      <c r="FD8" s="12">
        <f>Skills!K321</f>
        <v>4.9900700000000002</v>
      </c>
      <c r="FE8" s="12" t="str">
        <f>Skills!B321</f>
        <v>2-Handed</v>
      </c>
      <c r="FH8" s="12">
        <v>70000</v>
      </c>
      <c r="FI8" s="12">
        <v>6</v>
      </c>
      <c r="FJ8" s="12">
        <v>70000</v>
      </c>
    </row>
    <row r="9" spans="1:166" ht="13.35" customHeight="1" thickBot="1" x14ac:dyDescent="0.25">
      <c r="A9" s="21">
        <f t="shared" si="1"/>
        <v>8</v>
      </c>
      <c r="B9" s="22">
        <f t="shared" si="0"/>
        <v>-6</v>
      </c>
      <c r="C9" s="21">
        <f t="shared" si="2"/>
        <v>8</v>
      </c>
      <c r="E9" s="27" t="s">
        <v>422</v>
      </c>
      <c r="F9" s="28" t="s">
        <v>976</v>
      </c>
      <c r="G9" s="28" t="s">
        <v>991</v>
      </c>
      <c r="H9" s="28" t="s">
        <v>972</v>
      </c>
      <c r="I9" s="28" t="s">
        <v>976</v>
      </c>
      <c r="J9" s="28" t="s">
        <v>991</v>
      </c>
      <c r="K9" s="28" t="s">
        <v>990</v>
      </c>
      <c r="L9" s="28" t="s">
        <v>990</v>
      </c>
      <c r="M9" s="28" t="s">
        <v>990</v>
      </c>
      <c r="N9" s="28" t="s">
        <v>990</v>
      </c>
      <c r="O9" s="28" t="s">
        <v>990</v>
      </c>
      <c r="P9" s="28" t="s">
        <v>990</v>
      </c>
      <c r="Q9" s="28" t="s">
        <v>990</v>
      </c>
      <c r="R9" s="28" t="s">
        <v>990</v>
      </c>
      <c r="S9" s="28" t="s">
        <v>990</v>
      </c>
      <c r="T9" s="28" t="s">
        <v>974</v>
      </c>
      <c r="U9" s="28" t="s">
        <v>991</v>
      </c>
      <c r="V9" s="28" t="s">
        <v>991</v>
      </c>
      <c r="W9" s="28" t="s">
        <v>991</v>
      </c>
      <c r="X9" s="28" t="s">
        <v>991</v>
      </c>
      <c r="Y9" s="28" t="s">
        <v>991</v>
      </c>
      <c r="Z9" s="28"/>
      <c r="AA9" s="28" t="s">
        <v>990</v>
      </c>
      <c r="AB9" s="28" t="s">
        <v>990</v>
      </c>
      <c r="AC9" s="28" t="s">
        <v>976</v>
      </c>
      <c r="AD9" s="28" t="s">
        <v>976</v>
      </c>
      <c r="AE9" s="28"/>
      <c r="AF9" s="28" t="s">
        <v>990</v>
      </c>
      <c r="AG9" s="28" t="s">
        <v>990</v>
      </c>
      <c r="AH9" s="28" t="s">
        <v>991</v>
      </c>
      <c r="AI9" s="28"/>
      <c r="AJ9" s="28" t="s">
        <v>976</v>
      </c>
      <c r="AK9" s="28" t="s">
        <v>990</v>
      </c>
      <c r="AL9" s="28" t="s">
        <v>990</v>
      </c>
      <c r="AM9" s="28" t="s">
        <v>990</v>
      </c>
      <c r="AN9" s="28"/>
      <c r="AO9" s="28" t="s">
        <v>990</v>
      </c>
      <c r="AP9" s="28" t="s">
        <v>990</v>
      </c>
      <c r="AQ9" s="28" t="s">
        <v>972</v>
      </c>
      <c r="AR9" s="28"/>
      <c r="AS9" s="28" t="s">
        <v>990</v>
      </c>
      <c r="AT9" s="28" t="s">
        <v>990</v>
      </c>
      <c r="AU9" s="28" t="s">
        <v>990</v>
      </c>
      <c r="AV9" s="28" t="s">
        <v>990</v>
      </c>
      <c r="AW9" s="28" t="s">
        <v>990</v>
      </c>
      <c r="AX9" s="28" t="s">
        <v>990</v>
      </c>
      <c r="AY9" s="28" t="s">
        <v>990</v>
      </c>
      <c r="AZ9" s="28" t="s">
        <v>990</v>
      </c>
      <c r="BA9" s="28" t="s">
        <v>990</v>
      </c>
      <c r="BB9" s="28" t="s">
        <v>990</v>
      </c>
      <c r="BC9" s="28" t="s">
        <v>990</v>
      </c>
      <c r="BD9" s="28" t="s">
        <v>990</v>
      </c>
      <c r="BE9" s="28" t="s">
        <v>990</v>
      </c>
      <c r="BF9" s="28" t="s">
        <v>990</v>
      </c>
      <c r="BG9" s="28" t="s">
        <v>990</v>
      </c>
      <c r="BH9" s="28" t="s">
        <v>990</v>
      </c>
      <c r="BI9" s="28" t="s">
        <v>990</v>
      </c>
      <c r="BJ9" s="28" t="s">
        <v>990</v>
      </c>
      <c r="BK9" s="28" t="s">
        <v>990</v>
      </c>
      <c r="BL9" s="28" t="s">
        <v>990</v>
      </c>
      <c r="BM9" s="28" t="s">
        <v>990</v>
      </c>
      <c r="BN9" s="28" t="s">
        <v>990</v>
      </c>
      <c r="BO9" s="28" t="s">
        <v>990</v>
      </c>
      <c r="BP9" s="28" t="s">
        <v>990</v>
      </c>
      <c r="BQ9" s="28" t="s">
        <v>990</v>
      </c>
      <c r="BR9" s="28" t="s">
        <v>990</v>
      </c>
      <c r="BS9" s="28" t="s">
        <v>990</v>
      </c>
      <c r="BT9" s="28" t="s">
        <v>990</v>
      </c>
      <c r="BU9" s="28" t="s">
        <v>990</v>
      </c>
      <c r="BV9" s="28" t="s">
        <v>990</v>
      </c>
      <c r="BW9" s="28" t="s">
        <v>990</v>
      </c>
      <c r="BX9" s="28" t="s">
        <v>990</v>
      </c>
      <c r="BY9" s="28" t="s">
        <v>990</v>
      </c>
      <c r="BZ9" s="28" t="s">
        <v>990</v>
      </c>
      <c r="CA9" s="28" t="s">
        <v>990</v>
      </c>
      <c r="CB9" s="28" t="s">
        <v>990</v>
      </c>
      <c r="CC9" s="28" t="s">
        <v>990</v>
      </c>
      <c r="CD9" s="28" t="s">
        <v>990</v>
      </c>
      <c r="CE9" s="28" t="s">
        <v>990</v>
      </c>
      <c r="CF9" s="28" t="s">
        <v>990</v>
      </c>
      <c r="CG9" s="28" t="s">
        <v>990</v>
      </c>
      <c r="CH9" s="28" t="s">
        <v>990</v>
      </c>
      <c r="CI9" s="28" t="s">
        <v>990</v>
      </c>
      <c r="CJ9" s="28" t="s">
        <v>990</v>
      </c>
      <c r="CK9" s="28" t="s">
        <v>990</v>
      </c>
      <c r="CL9" s="28" t="s">
        <v>990</v>
      </c>
      <c r="CM9" s="28" t="s">
        <v>990</v>
      </c>
      <c r="CN9" s="28" t="s">
        <v>990</v>
      </c>
      <c r="CO9" s="28" t="s">
        <v>990</v>
      </c>
      <c r="CP9" s="28" t="s">
        <v>990</v>
      </c>
      <c r="CQ9" s="28" t="s">
        <v>990</v>
      </c>
      <c r="CR9" s="28"/>
      <c r="CS9" s="28" t="s">
        <v>972</v>
      </c>
      <c r="CT9" s="28" t="s">
        <v>974</v>
      </c>
      <c r="CU9" s="28" t="s">
        <v>982</v>
      </c>
      <c r="CV9" s="28" t="s">
        <v>976</v>
      </c>
      <c r="CW9" s="28"/>
      <c r="CX9" s="28" t="s">
        <v>991</v>
      </c>
      <c r="CY9" s="28" t="s">
        <v>990</v>
      </c>
      <c r="CZ9" s="28" t="s">
        <v>990</v>
      </c>
      <c r="DA9" s="28" t="s">
        <v>972</v>
      </c>
      <c r="DB9" s="28" t="s">
        <v>990</v>
      </c>
      <c r="DC9" s="28" t="s">
        <v>990</v>
      </c>
      <c r="DD9" s="28" t="s">
        <v>990</v>
      </c>
      <c r="DE9" s="28"/>
      <c r="DF9" s="12">
        <v>8</v>
      </c>
      <c r="DH9" s="97">
        <v>7</v>
      </c>
      <c r="DI9" s="12" t="s">
        <v>1239</v>
      </c>
      <c r="DJ9" s="12">
        <v>-10</v>
      </c>
      <c r="DK9" s="12">
        <v>-40</v>
      </c>
      <c r="DL9" s="12">
        <v>15</v>
      </c>
      <c r="DM9" s="12">
        <v>10</v>
      </c>
      <c r="DN9" s="98">
        <v>1</v>
      </c>
      <c r="DQ9" s="35">
        <v>6</v>
      </c>
      <c r="DR9" s="21">
        <v>12</v>
      </c>
      <c r="DS9" s="21">
        <v>18</v>
      </c>
      <c r="DT9" s="21">
        <v>6</v>
      </c>
      <c r="DU9" s="21">
        <v>30</v>
      </c>
      <c r="DV9" s="31">
        <f t="shared" si="3"/>
        <v>36</v>
      </c>
      <c r="DW9" s="30">
        <f t="shared" si="6"/>
        <v>36</v>
      </c>
      <c r="DX9" s="36">
        <v>6</v>
      </c>
      <c r="DY9" s="23">
        <v>30</v>
      </c>
      <c r="DZ9" s="12">
        <v>7</v>
      </c>
      <c r="EA9" s="12">
        <f t="shared" si="7"/>
        <v>63</v>
      </c>
      <c r="EB9" s="12">
        <f t="shared" si="8"/>
        <v>56</v>
      </c>
      <c r="EC9" s="12">
        <f t="shared" si="9"/>
        <v>49</v>
      </c>
      <c r="ED9" s="12">
        <f t="shared" si="10"/>
        <v>49</v>
      </c>
      <c r="EE9" s="12">
        <f t="shared" si="11"/>
        <v>49</v>
      </c>
      <c r="EF9" s="12">
        <f t="shared" si="12"/>
        <v>49</v>
      </c>
      <c r="EG9" s="12">
        <f t="shared" si="13"/>
        <v>49</v>
      </c>
      <c r="EH9" s="12">
        <f t="shared" si="14"/>
        <v>49</v>
      </c>
      <c r="EI9" s="12">
        <f t="shared" si="15"/>
        <v>49</v>
      </c>
      <c r="EJ9" s="12">
        <f t="shared" si="16"/>
        <v>49</v>
      </c>
      <c r="EK9" s="12">
        <f t="shared" si="17"/>
        <v>42</v>
      </c>
      <c r="EL9" s="12">
        <f t="shared" si="18"/>
        <v>42</v>
      </c>
      <c r="EM9" s="12">
        <f t="shared" si="19"/>
        <v>42</v>
      </c>
      <c r="EN9" s="12">
        <f t="shared" si="20"/>
        <v>42</v>
      </c>
      <c r="EO9" s="12">
        <f t="shared" si="21"/>
        <v>42</v>
      </c>
      <c r="EP9" s="12">
        <f t="shared" si="22"/>
        <v>42</v>
      </c>
      <c r="EQ9" s="12">
        <f t="shared" si="23"/>
        <v>42</v>
      </c>
      <c r="ER9" s="12">
        <f t="shared" si="24"/>
        <v>35</v>
      </c>
      <c r="ES9" s="12">
        <f t="shared" si="25"/>
        <v>35</v>
      </c>
      <c r="ET9" s="12">
        <f t="shared" si="26"/>
        <v>35</v>
      </c>
      <c r="EU9" s="12">
        <f t="shared" si="27"/>
        <v>28</v>
      </c>
      <c r="EV9" s="12">
        <f t="shared" si="28"/>
        <v>28</v>
      </c>
      <c r="EW9" s="12">
        <f t="shared" si="29"/>
        <v>21</v>
      </c>
      <c r="EX9" s="12">
        <f t="shared" si="30"/>
        <v>21</v>
      </c>
      <c r="EY9" s="12">
        <f t="shared" si="31"/>
        <v>14</v>
      </c>
      <c r="EZ9" s="12">
        <v>9</v>
      </c>
      <c r="FD9" s="12">
        <f>Skills!K322</f>
        <v>4.9900799999999998</v>
      </c>
      <c r="FE9" s="12" t="str">
        <f>Skills!B322</f>
        <v>2-Handed</v>
      </c>
      <c r="FH9" s="12">
        <v>90000</v>
      </c>
      <c r="FI9" s="12">
        <v>7</v>
      </c>
      <c r="FJ9" s="12">
        <v>90000</v>
      </c>
    </row>
    <row r="10" spans="1:166" ht="13.35" customHeight="1" thickBot="1" x14ac:dyDescent="0.25">
      <c r="A10" s="21">
        <f t="shared" si="1"/>
        <v>9</v>
      </c>
      <c r="B10" s="22">
        <f t="shared" si="0"/>
        <v>-6</v>
      </c>
      <c r="C10" s="21">
        <f t="shared" si="2"/>
        <v>9</v>
      </c>
      <c r="E10" s="27" t="s">
        <v>435</v>
      </c>
      <c r="F10" s="28" t="s">
        <v>972</v>
      </c>
      <c r="G10" s="28" t="s">
        <v>980</v>
      </c>
      <c r="H10" s="28" t="s">
        <v>974</v>
      </c>
      <c r="I10" s="28" t="s">
        <v>980</v>
      </c>
      <c r="J10" s="28" t="s">
        <v>976</v>
      </c>
      <c r="K10" s="28" t="s">
        <v>990</v>
      </c>
      <c r="L10" s="28" t="s">
        <v>990</v>
      </c>
      <c r="M10" s="28" t="s">
        <v>990</v>
      </c>
      <c r="N10" s="28" t="s">
        <v>990</v>
      </c>
      <c r="O10" s="28" t="s">
        <v>988</v>
      </c>
      <c r="P10" s="28" t="s">
        <v>988</v>
      </c>
      <c r="Q10" s="28" t="s">
        <v>990</v>
      </c>
      <c r="R10" s="28" t="s">
        <v>990</v>
      </c>
      <c r="S10" s="28" t="s">
        <v>990</v>
      </c>
      <c r="T10" s="28" t="s">
        <v>982</v>
      </c>
      <c r="U10" s="28" t="s">
        <v>987</v>
      </c>
      <c r="V10" s="28" t="s">
        <v>974</v>
      </c>
      <c r="W10" s="28" t="s">
        <v>973</v>
      </c>
      <c r="X10" s="28" t="s">
        <v>976</v>
      </c>
      <c r="Y10" s="28" t="s">
        <v>973</v>
      </c>
      <c r="Z10" s="28"/>
      <c r="AA10" s="28" t="s">
        <v>990</v>
      </c>
      <c r="AB10" s="28" t="s">
        <v>990</v>
      </c>
      <c r="AC10" s="28" t="s">
        <v>976</v>
      </c>
      <c r="AD10" s="28" t="s">
        <v>974</v>
      </c>
      <c r="AE10" s="28"/>
      <c r="AF10" s="28" t="s">
        <v>990</v>
      </c>
      <c r="AG10" s="28" t="s">
        <v>990</v>
      </c>
      <c r="AH10" s="28" t="s">
        <v>987</v>
      </c>
      <c r="AI10" s="28"/>
      <c r="AJ10" s="28" t="s">
        <v>982</v>
      </c>
      <c r="AK10" s="28" t="s">
        <v>990</v>
      </c>
      <c r="AL10" s="28" t="s">
        <v>988</v>
      </c>
      <c r="AM10" s="28" t="s">
        <v>990</v>
      </c>
      <c r="AN10" s="28"/>
      <c r="AO10" s="28" t="s">
        <v>990</v>
      </c>
      <c r="AP10" s="28" t="s">
        <v>990</v>
      </c>
      <c r="AQ10" s="28" t="s">
        <v>972</v>
      </c>
      <c r="AR10" s="28"/>
      <c r="AS10" s="28" t="s">
        <v>990</v>
      </c>
      <c r="AT10" s="28" t="s">
        <v>990</v>
      </c>
      <c r="AU10" s="28" t="s">
        <v>990</v>
      </c>
      <c r="AV10" s="28" t="s">
        <v>990</v>
      </c>
      <c r="AW10" s="28" t="s">
        <v>990</v>
      </c>
      <c r="AX10" s="28" t="s">
        <v>990</v>
      </c>
      <c r="AY10" s="28" t="s">
        <v>990</v>
      </c>
      <c r="AZ10" s="28" t="s">
        <v>990</v>
      </c>
      <c r="BA10" s="28" t="s">
        <v>990</v>
      </c>
      <c r="BB10" s="28" t="s">
        <v>990</v>
      </c>
      <c r="BC10" s="28" t="s">
        <v>990</v>
      </c>
      <c r="BD10" s="28" t="s">
        <v>990</v>
      </c>
      <c r="BE10" s="28" t="s">
        <v>990</v>
      </c>
      <c r="BF10" s="28" t="s">
        <v>990</v>
      </c>
      <c r="BG10" s="28" t="s">
        <v>990</v>
      </c>
      <c r="BH10" s="28" t="s">
        <v>990</v>
      </c>
      <c r="BI10" s="28" t="s">
        <v>990</v>
      </c>
      <c r="BJ10" s="28" t="s">
        <v>990</v>
      </c>
      <c r="BK10" s="28" t="s">
        <v>990</v>
      </c>
      <c r="BL10" s="28" t="s">
        <v>990</v>
      </c>
      <c r="BM10" s="28" t="s">
        <v>990</v>
      </c>
      <c r="BN10" s="28" t="s">
        <v>990</v>
      </c>
      <c r="BO10" s="28" t="s">
        <v>990</v>
      </c>
      <c r="BP10" s="28" t="s">
        <v>990</v>
      </c>
      <c r="BQ10" s="28" t="s">
        <v>990</v>
      </c>
      <c r="BR10" s="28" t="s">
        <v>990</v>
      </c>
      <c r="BS10" s="28" t="s">
        <v>990</v>
      </c>
      <c r="BT10" s="28" t="s">
        <v>990</v>
      </c>
      <c r="BU10" s="28" t="s">
        <v>990</v>
      </c>
      <c r="BV10" s="28" t="s">
        <v>990</v>
      </c>
      <c r="BW10" s="28" t="s">
        <v>990</v>
      </c>
      <c r="BX10" s="28" t="s">
        <v>990</v>
      </c>
      <c r="BY10" s="28" t="s">
        <v>990</v>
      </c>
      <c r="BZ10" s="28" t="s">
        <v>990</v>
      </c>
      <c r="CA10" s="28" t="s">
        <v>990</v>
      </c>
      <c r="CB10" s="28" t="s">
        <v>990</v>
      </c>
      <c r="CC10" s="28" t="s">
        <v>990</v>
      </c>
      <c r="CD10" s="28" t="s">
        <v>990</v>
      </c>
      <c r="CE10" s="28" t="s">
        <v>990</v>
      </c>
      <c r="CF10" s="28" t="s">
        <v>990</v>
      </c>
      <c r="CG10" s="28" t="s">
        <v>990</v>
      </c>
      <c r="CH10" s="28" t="s">
        <v>990</v>
      </c>
      <c r="CI10" s="28" t="s">
        <v>990</v>
      </c>
      <c r="CJ10" s="28" t="s">
        <v>990</v>
      </c>
      <c r="CK10" s="28" t="s">
        <v>990</v>
      </c>
      <c r="CL10" s="28" t="s">
        <v>990</v>
      </c>
      <c r="CM10" s="28" t="s">
        <v>990</v>
      </c>
      <c r="CN10" s="28" t="s">
        <v>990</v>
      </c>
      <c r="CO10" s="28" t="s">
        <v>990</v>
      </c>
      <c r="CP10" s="28" t="s">
        <v>990</v>
      </c>
      <c r="CQ10" s="28" t="s">
        <v>990</v>
      </c>
      <c r="CR10" s="28"/>
      <c r="CS10" s="28" t="s">
        <v>976</v>
      </c>
      <c r="CT10" s="28" t="s">
        <v>980</v>
      </c>
      <c r="CU10" s="28" t="s">
        <v>982</v>
      </c>
      <c r="CV10" s="28" t="s">
        <v>973</v>
      </c>
      <c r="CW10" s="28"/>
      <c r="CX10" s="28" t="s">
        <v>987</v>
      </c>
      <c r="CY10" s="28" t="s">
        <v>990</v>
      </c>
      <c r="CZ10" s="28" t="s">
        <v>990</v>
      </c>
      <c r="DA10" s="28" t="s">
        <v>976</v>
      </c>
      <c r="DB10" s="28" t="s">
        <v>983</v>
      </c>
      <c r="DC10" s="28" t="s">
        <v>983</v>
      </c>
      <c r="DD10" s="28" t="s">
        <v>988</v>
      </c>
      <c r="DE10" s="28"/>
      <c r="DF10" s="12">
        <v>9</v>
      </c>
      <c r="DH10" s="97">
        <v>8</v>
      </c>
      <c r="DI10" s="12" t="s">
        <v>1248</v>
      </c>
      <c r="DJ10" s="12">
        <v>-15</v>
      </c>
      <c r="DK10" s="12">
        <v>-50</v>
      </c>
      <c r="DL10" s="12">
        <v>15</v>
      </c>
      <c r="DM10" s="12">
        <v>15</v>
      </c>
      <c r="DN10" s="98">
        <v>1</v>
      </c>
      <c r="DQ10" s="35">
        <v>7</v>
      </c>
      <c r="DR10" s="21">
        <v>14</v>
      </c>
      <c r="DS10" s="21">
        <v>21</v>
      </c>
      <c r="DT10" s="21">
        <v>7</v>
      </c>
      <c r="DU10" s="21">
        <v>35</v>
      </c>
      <c r="DV10" s="31">
        <f t="shared" si="3"/>
        <v>42</v>
      </c>
      <c r="DW10" s="30">
        <f t="shared" si="6"/>
        <v>42</v>
      </c>
      <c r="DX10" s="36">
        <v>7</v>
      </c>
      <c r="DY10" s="23">
        <v>35</v>
      </c>
      <c r="DZ10" s="12">
        <v>8</v>
      </c>
      <c r="EA10" s="12">
        <f t="shared" si="7"/>
        <v>72</v>
      </c>
      <c r="EB10" s="12">
        <f t="shared" si="8"/>
        <v>64</v>
      </c>
      <c r="EC10" s="12">
        <f t="shared" si="9"/>
        <v>56</v>
      </c>
      <c r="ED10" s="12">
        <f t="shared" si="10"/>
        <v>56</v>
      </c>
      <c r="EE10" s="12">
        <f t="shared" si="11"/>
        <v>56</v>
      </c>
      <c r="EF10" s="12">
        <f t="shared" si="12"/>
        <v>56</v>
      </c>
      <c r="EG10" s="12">
        <f t="shared" si="13"/>
        <v>56</v>
      </c>
      <c r="EH10" s="12">
        <f t="shared" si="14"/>
        <v>56</v>
      </c>
      <c r="EI10" s="12">
        <f t="shared" si="15"/>
        <v>56</v>
      </c>
      <c r="EJ10" s="12">
        <f t="shared" si="16"/>
        <v>56</v>
      </c>
      <c r="EK10" s="12">
        <f t="shared" si="17"/>
        <v>48</v>
      </c>
      <c r="EL10" s="12">
        <f t="shared" si="18"/>
        <v>48</v>
      </c>
      <c r="EM10" s="12">
        <f t="shared" si="19"/>
        <v>48</v>
      </c>
      <c r="EN10" s="12">
        <f t="shared" si="20"/>
        <v>48</v>
      </c>
      <c r="EO10" s="12">
        <f t="shared" si="21"/>
        <v>48</v>
      </c>
      <c r="EP10" s="12">
        <f t="shared" si="22"/>
        <v>48</v>
      </c>
      <c r="EQ10" s="12">
        <f t="shared" si="23"/>
        <v>48</v>
      </c>
      <c r="ER10" s="12">
        <f t="shared" si="24"/>
        <v>40</v>
      </c>
      <c r="ES10" s="12">
        <f t="shared" si="25"/>
        <v>40</v>
      </c>
      <c r="ET10" s="12">
        <f t="shared" si="26"/>
        <v>40</v>
      </c>
      <c r="EU10" s="12">
        <f t="shared" si="27"/>
        <v>32</v>
      </c>
      <c r="EV10" s="12">
        <f t="shared" si="28"/>
        <v>32</v>
      </c>
      <c r="EW10" s="12">
        <f t="shared" si="29"/>
        <v>24</v>
      </c>
      <c r="EX10" s="12">
        <f t="shared" si="30"/>
        <v>24</v>
      </c>
      <c r="EY10" s="12">
        <f t="shared" si="31"/>
        <v>16</v>
      </c>
      <c r="EZ10" s="12">
        <v>10</v>
      </c>
      <c r="FD10" s="12">
        <f>Skills!K323</f>
        <v>4.9900900000000004</v>
      </c>
      <c r="FE10" s="12" t="str">
        <f>Skills!B323</f>
        <v>2-Handed</v>
      </c>
      <c r="FH10" s="12">
        <v>110000</v>
      </c>
      <c r="FI10" s="12">
        <v>8</v>
      </c>
      <c r="FJ10" s="12">
        <v>110000</v>
      </c>
    </row>
    <row r="11" spans="1:166" ht="13.35" customHeight="1" thickBot="1" x14ac:dyDescent="0.25">
      <c r="A11" s="21">
        <f t="shared" si="1"/>
        <v>10</v>
      </c>
      <c r="B11" s="22">
        <f t="shared" si="0"/>
        <v>-5</v>
      </c>
      <c r="C11" s="21">
        <f t="shared" si="2"/>
        <v>10</v>
      </c>
      <c r="E11" s="27" t="s">
        <v>458</v>
      </c>
      <c r="F11" s="28" t="s">
        <v>996</v>
      </c>
      <c r="G11" s="28" t="s">
        <v>972</v>
      </c>
      <c r="H11" s="28" t="s">
        <v>976</v>
      </c>
      <c r="I11" s="28" t="s">
        <v>996</v>
      </c>
      <c r="J11" s="28" t="s">
        <v>997</v>
      </c>
      <c r="K11" s="28" t="s">
        <v>983</v>
      </c>
      <c r="L11" s="28" t="s">
        <v>986</v>
      </c>
      <c r="M11" s="28" t="s">
        <v>983</v>
      </c>
      <c r="N11" s="28" t="s">
        <v>983</v>
      </c>
      <c r="O11" s="28" t="s">
        <v>985</v>
      </c>
      <c r="P11" s="28" t="s">
        <v>985</v>
      </c>
      <c r="Q11" s="28" t="s">
        <v>983</v>
      </c>
      <c r="R11" s="28" t="s">
        <v>990</v>
      </c>
      <c r="S11" s="28" t="s">
        <v>983</v>
      </c>
      <c r="T11" s="28" t="s">
        <v>998</v>
      </c>
      <c r="U11" s="28" t="s">
        <v>999</v>
      </c>
      <c r="V11" s="28" t="s">
        <v>1000</v>
      </c>
      <c r="W11" s="28" t="s">
        <v>1001</v>
      </c>
      <c r="X11" s="28" t="s">
        <v>1001</v>
      </c>
      <c r="Y11" s="28" t="s">
        <v>997</v>
      </c>
      <c r="Z11" s="28"/>
      <c r="AA11" s="28" t="s">
        <v>986</v>
      </c>
      <c r="AB11" s="28" t="s">
        <v>986</v>
      </c>
      <c r="AC11" s="28" t="s">
        <v>1001</v>
      </c>
      <c r="AD11" s="28" t="s">
        <v>1002</v>
      </c>
      <c r="AE11" s="28"/>
      <c r="AF11" s="28" t="s">
        <v>986</v>
      </c>
      <c r="AG11" s="28" t="s">
        <v>985</v>
      </c>
      <c r="AH11" s="28" t="s">
        <v>1001</v>
      </c>
      <c r="AI11" s="28"/>
      <c r="AJ11" s="28" t="s">
        <v>999</v>
      </c>
      <c r="AK11" s="28" t="s">
        <v>987</v>
      </c>
      <c r="AL11" s="28" t="s">
        <v>982</v>
      </c>
      <c r="AM11" s="28" t="s">
        <v>990</v>
      </c>
      <c r="AN11" s="28"/>
      <c r="AO11" s="28" t="s">
        <v>983</v>
      </c>
      <c r="AP11" s="28" t="s">
        <v>986</v>
      </c>
      <c r="AQ11" s="28" t="s">
        <v>997</v>
      </c>
      <c r="AR11" s="28"/>
      <c r="AS11" s="28" t="s">
        <v>983</v>
      </c>
      <c r="AT11" s="28" t="s">
        <v>983</v>
      </c>
      <c r="AU11" s="28" t="s">
        <v>983</v>
      </c>
      <c r="AV11" s="28" t="s">
        <v>983</v>
      </c>
      <c r="AW11" s="28" t="s">
        <v>983</v>
      </c>
      <c r="AX11" s="28" t="s">
        <v>983</v>
      </c>
      <c r="AY11" s="28" t="s">
        <v>983</v>
      </c>
      <c r="AZ11" s="28" t="s">
        <v>983</v>
      </c>
      <c r="BA11" s="28" t="s">
        <v>983</v>
      </c>
      <c r="BB11" s="28" t="s">
        <v>983</v>
      </c>
      <c r="BC11" s="28" t="s">
        <v>983</v>
      </c>
      <c r="BD11" s="28" t="s">
        <v>983</v>
      </c>
      <c r="BE11" s="28" t="s">
        <v>983</v>
      </c>
      <c r="BF11" s="28" t="s">
        <v>983</v>
      </c>
      <c r="BG11" s="28" t="s">
        <v>983</v>
      </c>
      <c r="BH11" s="28" t="s">
        <v>983</v>
      </c>
      <c r="BI11" s="28" t="s">
        <v>983</v>
      </c>
      <c r="BJ11" s="28" t="s">
        <v>983</v>
      </c>
      <c r="BK11" s="28" t="s">
        <v>983</v>
      </c>
      <c r="BL11" s="28" t="s">
        <v>983</v>
      </c>
      <c r="BM11" s="28" t="s">
        <v>983</v>
      </c>
      <c r="BN11" s="28" t="s">
        <v>983</v>
      </c>
      <c r="BO11" s="28" t="s">
        <v>983</v>
      </c>
      <c r="BP11" s="28" t="s">
        <v>983</v>
      </c>
      <c r="BQ11" s="28" t="s">
        <v>983</v>
      </c>
      <c r="BR11" s="28" t="s">
        <v>983</v>
      </c>
      <c r="BS11" s="28" t="s">
        <v>983</v>
      </c>
      <c r="BT11" s="28" t="s">
        <v>983</v>
      </c>
      <c r="BU11" s="28" t="s">
        <v>983</v>
      </c>
      <c r="BV11" s="28" t="s">
        <v>983</v>
      </c>
      <c r="BW11" s="28" t="s">
        <v>983</v>
      </c>
      <c r="BX11" s="28" t="s">
        <v>983</v>
      </c>
      <c r="BY11" s="28" t="s">
        <v>983</v>
      </c>
      <c r="BZ11" s="28" t="s">
        <v>983</v>
      </c>
      <c r="CA11" s="28" t="s">
        <v>983</v>
      </c>
      <c r="CB11" s="28" t="s">
        <v>983</v>
      </c>
      <c r="CC11" s="28" t="s">
        <v>983</v>
      </c>
      <c r="CD11" s="28" t="s">
        <v>983</v>
      </c>
      <c r="CE11" s="28" t="s">
        <v>983</v>
      </c>
      <c r="CF11" s="28" t="s">
        <v>983</v>
      </c>
      <c r="CG11" s="28" t="s">
        <v>983</v>
      </c>
      <c r="CH11" s="28" t="s">
        <v>983</v>
      </c>
      <c r="CI11" s="28" t="s">
        <v>983</v>
      </c>
      <c r="CJ11" s="28" t="s">
        <v>983</v>
      </c>
      <c r="CK11" s="28" t="s">
        <v>983</v>
      </c>
      <c r="CL11" s="28" t="s">
        <v>983</v>
      </c>
      <c r="CM11" s="28" t="s">
        <v>983</v>
      </c>
      <c r="CN11" s="28" t="s">
        <v>983</v>
      </c>
      <c r="CO11" s="28" t="s">
        <v>983</v>
      </c>
      <c r="CP11" s="28" t="s">
        <v>983</v>
      </c>
      <c r="CQ11" s="28" t="s">
        <v>983</v>
      </c>
      <c r="CR11" s="28"/>
      <c r="CS11" s="28" t="s">
        <v>976</v>
      </c>
      <c r="CT11" s="28" t="s">
        <v>974</v>
      </c>
      <c r="CU11" s="28" t="s">
        <v>991</v>
      </c>
      <c r="CV11" s="28" t="s">
        <v>991</v>
      </c>
      <c r="CW11" s="28"/>
      <c r="CX11" s="28" t="s">
        <v>1000</v>
      </c>
      <c r="CY11" s="28" t="s">
        <v>983</v>
      </c>
      <c r="CZ11" s="28" t="s">
        <v>983</v>
      </c>
      <c r="DA11" s="28" t="s">
        <v>976</v>
      </c>
      <c r="DB11" s="28" t="s">
        <v>983</v>
      </c>
      <c r="DC11" s="28" t="s">
        <v>983</v>
      </c>
      <c r="DD11" s="28" t="s">
        <v>985</v>
      </c>
      <c r="DE11" s="28"/>
      <c r="DF11" s="12">
        <v>10</v>
      </c>
      <c r="DH11" s="97">
        <v>9</v>
      </c>
      <c r="DI11" s="12" t="s">
        <v>1252</v>
      </c>
      <c r="DJ11" s="12">
        <v>-5</v>
      </c>
      <c r="DK11" s="12">
        <v>-50</v>
      </c>
      <c r="DL11" s="12">
        <v>0</v>
      </c>
      <c r="DM11" s="12">
        <v>0</v>
      </c>
      <c r="DN11" s="98">
        <v>2</v>
      </c>
      <c r="DQ11" s="35">
        <v>8</v>
      </c>
      <c r="DR11" s="21">
        <v>16</v>
      </c>
      <c r="DS11" s="21">
        <v>24</v>
      </c>
      <c r="DT11" s="21">
        <v>8</v>
      </c>
      <c r="DU11" s="21">
        <v>40</v>
      </c>
      <c r="DV11" s="31">
        <f t="shared" si="3"/>
        <v>48</v>
      </c>
      <c r="DW11" s="30">
        <f t="shared" si="6"/>
        <v>48</v>
      </c>
      <c r="DX11" s="36">
        <v>8</v>
      </c>
      <c r="DY11" s="23">
        <v>40</v>
      </c>
      <c r="DZ11" s="12">
        <v>9</v>
      </c>
      <c r="EA11" s="12">
        <f t="shared" si="7"/>
        <v>81</v>
      </c>
      <c r="EB11" s="12">
        <f t="shared" si="8"/>
        <v>72</v>
      </c>
      <c r="EC11" s="12">
        <f t="shared" si="9"/>
        <v>63</v>
      </c>
      <c r="ED11" s="12">
        <f t="shared" si="10"/>
        <v>63</v>
      </c>
      <c r="EE11" s="12">
        <f t="shared" si="11"/>
        <v>63</v>
      </c>
      <c r="EF11" s="12">
        <f t="shared" si="12"/>
        <v>63</v>
      </c>
      <c r="EG11" s="12">
        <f t="shared" si="13"/>
        <v>63</v>
      </c>
      <c r="EH11" s="12">
        <f t="shared" si="14"/>
        <v>63</v>
      </c>
      <c r="EI11" s="12">
        <f t="shared" si="15"/>
        <v>63</v>
      </c>
      <c r="EJ11" s="12">
        <f t="shared" si="16"/>
        <v>63</v>
      </c>
      <c r="EK11" s="12">
        <f t="shared" si="17"/>
        <v>54</v>
      </c>
      <c r="EL11" s="12">
        <f t="shared" si="18"/>
        <v>54</v>
      </c>
      <c r="EM11" s="12">
        <f t="shared" si="19"/>
        <v>54</v>
      </c>
      <c r="EN11" s="12">
        <f t="shared" si="20"/>
        <v>54</v>
      </c>
      <c r="EO11" s="12">
        <f t="shared" si="21"/>
        <v>54</v>
      </c>
      <c r="EP11" s="12">
        <f t="shared" si="22"/>
        <v>54</v>
      </c>
      <c r="EQ11" s="12">
        <f t="shared" si="23"/>
        <v>54</v>
      </c>
      <c r="ER11" s="12">
        <f t="shared" si="24"/>
        <v>45</v>
      </c>
      <c r="ES11" s="12">
        <f t="shared" si="25"/>
        <v>45</v>
      </c>
      <c r="ET11" s="12">
        <f t="shared" si="26"/>
        <v>45</v>
      </c>
      <c r="EU11" s="12">
        <f t="shared" si="27"/>
        <v>36</v>
      </c>
      <c r="EV11" s="12">
        <f t="shared" si="28"/>
        <v>36</v>
      </c>
      <c r="EW11" s="12">
        <f t="shared" si="29"/>
        <v>27</v>
      </c>
      <c r="EX11" s="12">
        <f t="shared" si="30"/>
        <v>27</v>
      </c>
      <c r="EY11" s="12">
        <f t="shared" si="31"/>
        <v>18</v>
      </c>
      <c r="EZ11" s="12">
        <v>11</v>
      </c>
      <c r="FD11" s="12">
        <f>Skills!K325</f>
        <v>2.9901000000000004</v>
      </c>
      <c r="FE11" s="12" t="str">
        <f>Skills!B325</f>
        <v>Missile</v>
      </c>
      <c r="FH11" s="12">
        <v>130000</v>
      </c>
      <c r="FI11" s="12">
        <v>9</v>
      </c>
      <c r="FJ11" s="12">
        <v>130000</v>
      </c>
    </row>
    <row r="12" spans="1:166" ht="13.35" customHeight="1" thickBot="1" x14ac:dyDescent="0.25">
      <c r="A12" s="21">
        <f t="shared" si="1"/>
        <v>11</v>
      </c>
      <c r="B12" s="22">
        <f>ROUNDDOWN((A12-33)/5,0)</f>
        <v>-4</v>
      </c>
      <c r="C12" s="21">
        <f t="shared" si="2"/>
        <v>11</v>
      </c>
      <c r="E12" s="27" t="s">
        <v>463</v>
      </c>
      <c r="F12" s="28" t="s">
        <v>972</v>
      </c>
      <c r="G12" s="28" t="s">
        <v>980</v>
      </c>
      <c r="H12" s="28" t="s">
        <v>974</v>
      </c>
      <c r="I12" s="28" t="s">
        <v>972</v>
      </c>
      <c r="J12" s="28" t="s">
        <v>976</v>
      </c>
      <c r="K12" s="28" t="s">
        <v>990</v>
      </c>
      <c r="L12" s="28" t="s">
        <v>990</v>
      </c>
      <c r="M12" s="28" t="s">
        <v>976</v>
      </c>
      <c r="N12" s="28" t="s">
        <v>1003</v>
      </c>
      <c r="O12" s="28" t="s">
        <v>990</v>
      </c>
      <c r="P12" s="28" t="s">
        <v>990</v>
      </c>
      <c r="Q12" s="28" t="s">
        <v>990</v>
      </c>
      <c r="R12" s="28" t="s">
        <v>973</v>
      </c>
      <c r="S12" s="28" t="s">
        <v>990</v>
      </c>
      <c r="T12" s="28" t="s">
        <v>975</v>
      </c>
      <c r="U12" s="28" t="s">
        <v>976</v>
      </c>
      <c r="V12" s="28" t="s">
        <v>976</v>
      </c>
      <c r="W12" s="28" t="s">
        <v>976</v>
      </c>
      <c r="X12" s="28" t="s">
        <v>976</v>
      </c>
      <c r="Y12" s="28" t="s">
        <v>974</v>
      </c>
      <c r="Z12" s="28"/>
      <c r="AA12" s="28" t="s">
        <v>1004</v>
      </c>
      <c r="AB12" s="28" t="s">
        <v>1004</v>
      </c>
      <c r="AC12" s="28" t="s">
        <v>976</v>
      </c>
      <c r="AD12" s="28" t="s">
        <v>976</v>
      </c>
      <c r="AE12" s="28"/>
      <c r="AF12" s="28" t="s">
        <v>987</v>
      </c>
      <c r="AG12" s="28" t="s">
        <v>987</v>
      </c>
      <c r="AH12" s="28" t="s">
        <v>976</v>
      </c>
      <c r="AI12" s="28"/>
      <c r="AJ12" s="28" t="s">
        <v>976</v>
      </c>
      <c r="AK12" s="28" t="s">
        <v>991</v>
      </c>
      <c r="AL12" s="28" t="s">
        <v>975</v>
      </c>
      <c r="AM12" s="28" t="s">
        <v>976</v>
      </c>
      <c r="AN12" s="28"/>
      <c r="AO12" s="28" t="s">
        <v>990</v>
      </c>
      <c r="AP12" s="28" t="s">
        <v>990</v>
      </c>
      <c r="AQ12" s="28" t="s">
        <v>975</v>
      </c>
      <c r="AR12" s="28"/>
      <c r="AS12" s="28" t="s">
        <v>991</v>
      </c>
      <c r="AT12" s="28" t="s">
        <v>991</v>
      </c>
      <c r="AU12" s="28" t="s">
        <v>991</v>
      </c>
      <c r="AV12" s="28" t="s">
        <v>991</v>
      </c>
      <c r="AW12" s="28" t="s">
        <v>991</v>
      </c>
      <c r="AX12" s="28" t="s">
        <v>991</v>
      </c>
      <c r="AY12" s="28" t="s">
        <v>991</v>
      </c>
      <c r="AZ12" s="28" t="s">
        <v>991</v>
      </c>
      <c r="BA12" s="28" t="s">
        <v>991</v>
      </c>
      <c r="BB12" s="28" t="s">
        <v>991</v>
      </c>
      <c r="BC12" s="28" t="s">
        <v>991</v>
      </c>
      <c r="BD12" s="28" t="s">
        <v>991</v>
      </c>
      <c r="BE12" s="28" t="s">
        <v>991</v>
      </c>
      <c r="BF12" s="28" t="s">
        <v>991</v>
      </c>
      <c r="BG12" s="28" t="s">
        <v>991</v>
      </c>
      <c r="BH12" s="28" t="s">
        <v>991</v>
      </c>
      <c r="BI12" s="28" t="s">
        <v>991</v>
      </c>
      <c r="BJ12" s="28" t="s">
        <v>991</v>
      </c>
      <c r="BK12" s="28" t="s">
        <v>991</v>
      </c>
      <c r="BL12" s="28" t="s">
        <v>991</v>
      </c>
      <c r="BM12" s="28" t="s">
        <v>991</v>
      </c>
      <c r="BN12" s="28" t="s">
        <v>991</v>
      </c>
      <c r="BO12" s="28" t="s">
        <v>991</v>
      </c>
      <c r="BP12" s="28" t="s">
        <v>991</v>
      </c>
      <c r="BQ12" s="28" t="s">
        <v>991</v>
      </c>
      <c r="BR12" s="28" t="s">
        <v>991</v>
      </c>
      <c r="BS12" s="28" t="s">
        <v>991</v>
      </c>
      <c r="BT12" s="28" t="s">
        <v>991</v>
      </c>
      <c r="BU12" s="28" t="s">
        <v>991</v>
      </c>
      <c r="BV12" s="28" t="s">
        <v>991</v>
      </c>
      <c r="BW12" s="28" t="s">
        <v>991</v>
      </c>
      <c r="BX12" s="28" t="s">
        <v>991</v>
      </c>
      <c r="BY12" s="28" t="s">
        <v>991</v>
      </c>
      <c r="BZ12" s="28" t="s">
        <v>991</v>
      </c>
      <c r="CA12" s="28" t="s">
        <v>991</v>
      </c>
      <c r="CB12" s="28" t="s">
        <v>991</v>
      </c>
      <c r="CC12" s="28" t="s">
        <v>991</v>
      </c>
      <c r="CD12" s="28" t="s">
        <v>991</v>
      </c>
      <c r="CE12" s="28" t="s">
        <v>991</v>
      </c>
      <c r="CF12" s="28" t="s">
        <v>991</v>
      </c>
      <c r="CG12" s="28" t="s">
        <v>991</v>
      </c>
      <c r="CH12" s="28" t="s">
        <v>991</v>
      </c>
      <c r="CI12" s="28" t="s">
        <v>991</v>
      </c>
      <c r="CJ12" s="28" t="s">
        <v>991</v>
      </c>
      <c r="CK12" s="28" t="s">
        <v>991</v>
      </c>
      <c r="CL12" s="28" t="s">
        <v>991</v>
      </c>
      <c r="CM12" s="28" t="s">
        <v>991</v>
      </c>
      <c r="CN12" s="28" t="s">
        <v>991</v>
      </c>
      <c r="CO12" s="28" t="s">
        <v>991</v>
      </c>
      <c r="CP12" s="28" t="s">
        <v>991</v>
      </c>
      <c r="CQ12" s="28" t="s">
        <v>991</v>
      </c>
      <c r="CR12" s="28"/>
      <c r="CS12" s="28" t="s">
        <v>976</v>
      </c>
      <c r="CT12" s="28" t="s">
        <v>974</v>
      </c>
      <c r="CU12" s="28" t="s">
        <v>972</v>
      </c>
      <c r="CV12" s="28" t="s">
        <v>991</v>
      </c>
      <c r="CW12" s="28"/>
      <c r="CX12" s="28" t="s">
        <v>972</v>
      </c>
      <c r="CY12" s="28" t="s">
        <v>976</v>
      </c>
      <c r="CZ12" s="28" t="s">
        <v>974</v>
      </c>
      <c r="DA12" s="28" t="s">
        <v>976</v>
      </c>
      <c r="DB12" s="28" t="s">
        <v>990</v>
      </c>
      <c r="DC12" s="28" t="s">
        <v>976</v>
      </c>
      <c r="DD12" s="28" t="s">
        <v>990</v>
      </c>
      <c r="DE12" s="28"/>
      <c r="DF12" s="12">
        <v>11</v>
      </c>
      <c r="DH12" s="97">
        <v>10</v>
      </c>
      <c r="DI12" s="12" t="s">
        <v>1255</v>
      </c>
      <c r="DJ12" s="12">
        <v>-10</v>
      </c>
      <c r="DK12" s="12">
        <v>-70</v>
      </c>
      <c r="DL12" s="12">
        <v>10</v>
      </c>
      <c r="DM12" s="12">
        <v>5</v>
      </c>
      <c r="DN12" s="98">
        <v>2</v>
      </c>
      <c r="DQ12" s="35">
        <v>9</v>
      </c>
      <c r="DR12" s="21">
        <v>18</v>
      </c>
      <c r="DS12" s="21">
        <v>27</v>
      </c>
      <c r="DT12" s="21">
        <v>9</v>
      </c>
      <c r="DU12" s="21">
        <v>45</v>
      </c>
      <c r="DV12" s="31">
        <f t="shared" si="3"/>
        <v>54</v>
      </c>
      <c r="DW12" s="30">
        <f t="shared" si="6"/>
        <v>54</v>
      </c>
      <c r="DX12" s="36">
        <v>9</v>
      </c>
      <c r="DY12" s="23">
        <v>45</v>
      </c>
      <c r="DZ12" s="20">
        <v>10</v>
      </c>
      <c r="EA12" s="12">
        <f t="shared" si="7"/>
        <v>90</v>
      </c>
      <c r="EB12" s="78">
        <f>EB11+8</f>
        <v>80</v>
      </c>
      <c r="EC12" s="78">
        <f t="shared" ref="EC12:EJ12" si="32">EC11+7</f>
        <v>70</v>
      </c>
      <c r="ED12" s="78">
        <f t="shared" si="32"/>
        <v>70</v>
      </c>
      <c r="EE12" s="78">
        <f t="shared" si="32"/>
        <v>70</v>
      </c>
      <c r="EF12" s="78">
        <f t="shared" si="32"/>
        <v>70</v>
      </c>
      <c r="EG12" s="78">
        <f t="shared" si="32"/>
        <v>70</v>
      </c>
      <c r="EH12" s="78">
        <f t="shared" si="32"/>
        <v>70</v>
      </c>
      <c r="EI12" s="78">
        <f t="shared" si="32"/>
        <v>70</v>
      </c>
      <c r="EJ12" s="78">
        <f t="shared" si="32"/>
        <v>70</v>
      </c>
      <c r="EK12" s="78">
        <f t="shared" ref="EK12:EQ12" si="33">EK11+6</f>
        <v>60</v>
      </c>
      <c r="EL12" s="78">
        <f t="shared" si="33"/>
        <v>60</v>
      </c>
      <c r="EM12" s="78">
        <f t="shared" si="33"/>
        <v>60</v>
      </c>
      <c r="EN12" s="78">
        <f t="shared" si="33"/>
        <v>60</v>
      </c>
      <c r="EO12" s="78">
        <f t="shared" si="33"/>
        <v>60</v>
      </c>
      <c r="EP12" s="78">
        <f t="shared" si="33"/>
        <v>60</v>
      </c>
      <c r="EQ12" s="78">
        <f t="shared" si="33"/>
        <v>60</v>
      </c>
      <c r="ER12" s="78">
        <f>ER11+5</f>
        <v>50</v>
      </c>
      <c r="ES12" s="78">
        <f>ES11+5</f>
        <v>50</v>
      </c>
      <c r="ET12" s="78">
        <f>ET11+5</f>
        <v>50</v>
      </c>
      <c r="EU12" s="78">
        <f>EU11+4</f>
        <v>40</v>
      </c>
      <c r="EV12" s="78">
        <f>EV11+4</f>
        <v>40</v>
      </c>
      <c r="EW12" s="78">
        <f>EW11+3</f>
        <v>30</v>
      </c>
      <c r="EX12" s="78">
        <f>EX11+3</f>
        <v>30</v>
      </c>
      <c r="EY12" s="78">
        <f>EY11+2</f>
        <v>20</v>
      </c>
      <c r="EZ12" s="20">
        <v>12</v>
      </c>
      <c r="FD12" s="12">
        <f>Skills!K326</f>
        <v>2.99011</v>
      </c>
      <c r="FE12" s="12" t="str">
        <f>Skills!B326</f>
        <v>Missile</v>
      </c>
      <c r="FH12" s="12">
        <v>150000</v>
      </c>
      <c r="FI12" s="12">
        <v>10</v>
      </c>
      <c r="FJ12" s="12">
        <v>150000</v>
      </c>
    </row>
    <row r="13" spans="1:166" ht="13.35" customHeight="1" thickBot="1" x14ac:dyDescent="0.25">
      <c r="A13" s="21">
        <f t="shared" si="1"/>
        <v>12</v>
      </c>
      <c r="B13" s="22">
        <f t="shared" ref="B13:B31" si="34">ROUND((A13-33)/5,0)</f>
        <v>-4</v>
      </c>
      <c r="C13" s="21">
        <f t="shared" si="2"/>
        <v>12</v>
      </c>
      <c r="E13" s="27" t="s">
        <v>473</v>
      </c>
      <c r="F13" s="28" t="s">
        <v>976</v>
      </c>
      <c r="G13" s="28" t="s">
        <v>972</v>
      </c>
      <c r="H13" s="28" t="s">
        <v>976</v>
      </c>
      <c r="I13" s="28" t="s">
        <v>972</v>
      </c>
      <c r="J13" s="28" t="s">
        <v>976</v>
      </c>
      <c r="K13" s="28" t="s">
        <v>987</v>
      </c>
      <c r="L13" s="28" t="s">
        <v>976</v>
      </c>
      <c r="M13" s="28" t="s">
        <v>987</v>
      </c>
      <c r="N13" s="28" t="s">
        <v>1008</v>
      </c>
      <c r="O13" s="28" t="s">
        <v>987</v>
      </c>
      <c r="P13" s="28" t="s">
        <v>987</v>
      </c>
      <c r="Q13" s="28" t="s">
        <v>987</v>
      </c>
      <c r="R13" s="28" t="s">
        <v>976</v>
      </c>
      <c r="S13" s="28" t="s">
        <v>987</v>
      </c>
      <c r="T13" s="28" t="s">
        <v>972</v>
      </c>
      <c r="U13" s="28" t="s">
        <v>987</v>
      </c>
      <c r="V13" s="28" t="s">
        <v>987</v>
      </c>
      <c r="W13" s="28" t="s">
        <v>987</v>
      </c>
      <c r="X13" s="28" t="s">
        <v>987</v>
      </c>
      <c r="Y13" s="28" t="s">
        <v>976</v>
      </c>
      <c r="Z13" s="28"/>
      <c r="AA13" s="28" t="s">
        <v>975</v>
      </c>
      <c r="AB13" s="28" t="s">
        <v>975</v>
      </c>
      <c r="AC13" s="28" t="s">
        <v>976</v>
      </c>
      <c r="AD13" s="28" t="s">
        <v>974</v>
      </c>
      <c r="AE13" s="28"/>
      <c r="AF13" s="28" t="s">
        <v>987</v>
      </c>
      <c r="AG13" s="28" t="s">
        <v>987</v>
      </c>
      <c r="AH13" s="28" t="s">
        <v>987</v>
      </c>
      <c r="AI13" s="28"/>
      <c r="AJ13" s="28" t="s">
        <v>982</v>
      </c>
      <c r="AK13" s="28" t="s">
        <v>991</v>
      </c>
      <c r="AL13" s="28" t="s">
        <v>973</v>
      </c>
      <c r="AM13" s="28" t="s">
        <v>972</v>
      </c>
      <c r="AN13" s="28"/>
      <c r="AO13" s="28" t="s">
        <v>987</v>
      </c>
      <c r="AP13" s="28" t="s">
        <v>987</v>
      </c>
      <c r="AQ13" s="28" t="s">
        <v>972</v>
      </c>
      <c r="AR13" s="28"/>
      <c r="AS13" s="28" t="s">
        <v>987</v>
      </c>
      <c r="AT13" s="28" t="s">
        <v>987</v>
      </c>
      <c r="AU13" s="28" t="s">
        <v>987</v>
      </c>
      <c r="AV13" s="28" t="s">
        <v>987</v>
      </c>
      <c r="AW13" s="28" t="s">
        <v>987</v>
      </c>
      <c r="AX13" s="28" t="s">
        <v>987</v>
      </c>
      <c r="AY13" s="28" t="s">
        <v>987</v>
      </c>
      <c r="AZ13" s="28" t="s">
        <v>987</v>
      </c>
      <c r="BA13" s="28" t="s">
        <v>987</v>
      </c>
      <c r="BB13" s="28" t="s">
        <v>987</v>
      </c>
      <c r="BC13" s="28" t="s">
        <v>987</v>
      </c>
      <c r="BD13" s="28" t="s">
        <v>987</v>
      </c>
      <c r="BE13" s="28" t="s">
        <v>987</v>
      </c>
      <c r="BF13" s="28" t="s">
        <v>987</v>
      </c>
      <c r="BG13" s="28" t="s">
        <v>987</v>
      </c>
      <c r="BH13" s="28" t="s">
        <v>987</v>
      </c>
      <c r="BI13" s="28" t="s">
        <v>987</v>
      </c>
      <c r="BJ13" s="28" t="s">
        <v>987</v>
      </c>
      <c r="BK13" s="28" t="s">
        <v>987</v>
      </c>
      <c r="BL13" s="28" t="s">
        <v>987</v>
      </c>
      <c r="BM13" s="28" t="s">
        <v>987</v>
      </c>
      <c r="BN13" s="28" t="s">
        <v>987</v>
      </c>
      <c r="BO13" s="28" t="s">
        <v>987</v>
      </c>
      <c r="BP13" s="28" t="s">
        <v>987</v>
      </c>
      <c r="BQ13" s="28" t="s">
        <v>987</v>
      </c>
      <c r="BR13" s="28" t="s">
        <v>987</v>
      </c>
      <c r="BS13" s="28" t="s">
        <v>987</v>
      </c>
      <c r="BT13" s="28" t="s">
        <v>987</v>
      </c>
      <c r="BU13" s="28" t="s">
        <v>987</v>
      </c>
      <c r="BV13" s="28" t="s">
        <v>987</v>
      </c>
      <c r="BW13" s="28" t="s">
        <v>987</v>
      </c>
      <c r="BX13" s="28" t="s">
        <v>987</v>
      </c>
      <c r="BY13" s="28" t="s">
        <v>987</v>
      </c>
      <c r="BZ13" s="28" t="s">
        <v>987</v>
      </c>
      <c r="CA13" s="28" t="s">
        <v>987</v>
      </c>
      <c r="CB13" s="28" t="s">
        <v>987</v>
      </c>
      <c r="CC13" s="28" t="s">
        <v>987</v>
      </c>
      <c r="CD13" s="28" t="s">
        <v>987</v>
      </c>
      <c r="CE13" s="28" t="s">
        <v>987</v>
      </c>
      <c r="CF13" s="28" t="s">
        <v>987</v>
      </c>
      <c r="CG13" s="28" t="s">
        <v>987</v>
      </c>
      <c r="CH13" s="28" t="s">
        <v>987</v>
      </c>
      <c r="CI13" s="28" t="s">
        <v>987</v>
      </c>
      <c r="CJ13" s="28" t="s">
        <v>987</v>
      </c>
      <c r="CK13" s="28" t="s">
        <v>987</v>
      </c>
      <c r="CL13" s="28" t="s">
        <v>987</v>
      </c>
      <c r="CM13" s="28" t="s">
        <v>987</v>
      </c>
      <c r="CN13" s="28" t="s">
        <v>987</v>
      </c>
      <c r="CO13" s="28" t="s">
        <v>987</v>
      </c>
      <c r="CP13" s="28" t="s">
        <v>987</v>
      </c>
      <c r="CQ13" s="28" t="s">
        <v>987</v>
      </c>
      <c r="CR13" s="28"/>
      <c r="CS13" s="28" t="s">
        <v>974</v>
      </c>
      <c r="CT13" s="28" t="s">
        <v>974</v>
      </c>
      <c r="CU13" s="28" t="s">
        <v>972</v>
      </c>
      <c r="CV13" s="28" t="s">
        <v>972</v>
      </c>
      <c r="CW13" s="28"/>
      <c r="CX13" s="28" t="s">
        <v>982</v>
      </c>
      <c r="CY13" s="28" t="s">
        <v>987</v>
      </c>
      <c r="CZ13" s="28" t="s">
        <v>987</v>
      </c>
      <c r="DA13" s="28" t="s">
        <v>974</v>
      </c>
      <c r="DB13" s="28" t="s">
        <v>987</v>
      </c>
      <c r="DC13" s="28" t="s">
        <v>987</v>
      </c>
      <c r="DD13" s="28" t="s">
        <v>987</v>
      </c>
      <c r="DE13" s="28"/>
      <c r="DF13" s="12">
        <v>12</v>
      </c>
      <c r="DH13" s="97">
        <v>11</v>
      </c>
      <c r="DI13" s="12" t="s">
        <v>1259</v>
      </c>
      <c r="DJ13" s="12">
        <v>-15</v>
      </c>
      <c r="DK13" s="12">
        <v>-90</v>
      </c>
      <c r="DL13" s="12">
        <v>20</v>
      </c>
      <c r="DM13" s="12">
        <v>15</v>
      </c>
      <c r="DN13" s="98">
        <v>2</v>
      </c>
      <c r="DQ13" s="35">
        <v>10</v>
      </c>
      <c r="DR13" s="21">
        <v>20</v>
      </c>
      <c r="DS13" s="21">
        <v>30</v>
      </c>
      <c r="DT13" s="21">
        <v>10</v>
      </c>
      <c r="DU13" s="21">
        <v>50</v>
      </c>
      <c r="DV13" s="31">
        <f t="shared" si="3"/>
        <v>60</v>
      </c>
      <c r="DW13" s="30">
        <f t="shared" si="6"/>
        <v>60</v>
      </c>
      <c r="DX13" s="36">
        <v>10</v>
      </c>
      <c r="DY13" s="23">
        <v>50</v>
      </c>
      <c r="DZ13" s="12">
        <v>11</v>
      </c>
      <c r="EA13" s="12">
        <f>EA12+8</f>
        <v>98</v>
      </c>
      <c r="EB13" s="12">
        <f>EB12+6</f>
        <v>86</v>
      </c>
      <c r="EC13" s="12">
        <f>EC12+6</f>
        <v>76</v>
      </c>
      <c r="ED13" s="12">
        <f>ED12+5</f>
        <v>75</v>
      </c>
      <c r="EE13" s="12">
        <f>EE12+5</f>
        <v>75</v>
      </c>
      <c r="EF13" s="12">
        <f>EF12+5</f>
        <v>75</v>
      </c>
      <c r="EG13" s="12">
        <f>EG12+5</f>
        <v>75</v>
      </c>
      <c r="EH13" s="12">
        <f>EH12+4</f>
        <v>74</v>
      </c>
      <c r="EI13" s="12">
        <f>EI12+4</f>
        <v>74</v>
      </c>
      <c r="EJ13" s="12">
        <f>EJ12+3</f>
        <v>73</v>
      </c>
      <c r="EK13" s="12">
        <f>EK12+5</f>
        <v>65</v>
      </c>
      <c r="EL13" s="12">
        <f>EL12+5</f>
        <v>65</v>
      </c>
      <c r="EM13" s="12">
        <f>EM12+5</f>
        <v>65</v>
      </c>
      <c r="EN13" s="12">
        <f>EN12+4</f>
        <v>64</v>
      </c>
      <c r="EO13" s="12">
        <f>EO12+4</f>
        <v>64</v>
      </c>
      <c r="EP13" s="12">
        <f>EP12+3</f>
        <v>63</v>
      </c>
      <c r="EQ13" s="12">
        <f>EQ12+3</f>
        <v>63</v>
      </c>
      <c r="ER13" s="12">
        <f>ER12+4</f>
        <v>54</v>
      </c>
      <c r="ES13" s="12">
        <f>ES12+3</f>
        <v>53</v>
      </c>
      <c r="ET13" s="12">
        <f>ET12+3</f>
        <v>53</v>
      </c>
      <c r="EU13" s="12">
        <f>EU12+3</f>
        <v>43</v>
      </c>
      <c r="EV13" s="12">
        <f>EV12+3</f>
        <v>43</v>
      </c>
      <c r="EW13" s="12">
        <f>EW12+2</f>
        <v>32</v>
      </c>
      <c r="EX13" s="12">
        <f>EX12+2</f>
        <v>32</v>
      </c>
      <c r="EY13" s="12">
        <f>EY12+1</f>
        <v>21</v>
      </c>
      <c r="EZ13" s="12">
        <v>13</v>
      </c>
      <c r="FD13" s="12">
        <f>Skills!K327</f>
        <v>2.9901200000000001</v>
      </c>
      <c r="FE13" s="12" t="str">
        <f>Skills!B327</f>
        <v>Missile</v>
      </c>
      <c r="FH13" s="12">
        <v>180000</v>
      </c>
      <c r="FI13" s="12">
        <v>11</v>
      </c>
      <c r="FJ13" s="12">
        <v>180000</v>
      </c>
    </row>
    <row r="14" spans="1:166" ht="13.35" customHeight="1" thickBot="1" x14ac:dyDescent="0.25">
      <c r="A14" s="21">
        <f t="shared" si="1"/>
        <v>13</v>
      </c>
      <c r="B14" s="22">
        <f t="shared" si="34"/>
        <v>-4</v>
      </c>
      <c r="C14" s="21">
        <f t="shared" si="2"/>
        <v>13</v>
      </c>
      <c r="E14" s="27" t="s">
        <v>487</v>
      </c>
      <c r="F14" s="28" t="s">
        <v>972</v>
      </c>
      <c r="G14" s="28" t="s">
        <v>1009</v>
      </c>
      <c r="H14" s="28" t="s">
        <v>988</v>
      </c>
      <c r="I14" s="28" t="s">
        <v>1010</v>
      </c>
      <c r="J14" s="28" t="s">
        <v>1001</v>
      </c>
      <c r="K14" s="28" t="s">
        <v>1011</v>
      </c>
      <c r="L14" s="28" t="s">
        <v>1011</v>
      </c>
      <c r="M14" s="28" t="s">
        <v>911</v>
      </c>
      <c r="N14" s="28" t="s">
        <v>969</v>
      </c>
      <c r="O14" s="28" t="s">
        <v>1012</v>
      </c>
      <c r="P14" s="28" t="s">
        <v>1012</v>
      </c>
      <c r="Q14" s="28" t="s">
        <v>976</v>
      </c>
      <c r="R14" s="28" t="s">
        <v>1011</v>
      </c>
      <c r="S14" s="28" t="s">
        <v>1011</v>
      </c>
      <c r="T14" s="28" t="s">
        <v>1001</v>
      </c>
      <c r="U14" s="28" t="s">
        <v>1010</v>
      </c>
      <c r="V14" s="28" t="s">
        <v>1013</v>
      </c>
      <c r="W14" s="28" t="s">
        <v>1013</v>
      </c>
      <c r="X14" s="28" t="s">
        <v>1013</v>
      </c>
      <c r="Y14" s="28" t="s">
        <v>1013</v>
      </c>
      <c r="Z14" s="28"/>
      <c r="AA14" s="28" t="s">
        <v>1014</v>
      </c>
      <c r="AB14" s="28" t="s">
        <v>1014</v>
      </c>
      <c r="AC14" s="28" t="s">
        <v>1010</v>
      </c>
      <c r="AD14" s="28" t="s">
        <v>1013</v>
      </c>
      <c r="AE14" s="28"/>
      <c r="AF14" s="28" t="s">
        <v>1011</v>
      </c>
      <c r="AG14" s="28" t="s">
        <v>1011</v>
      </c>
      <c r="AH14" s="28" t="s">
        <v>1013</v>
      </c>
      <c r="AI14" s="28"/>
      <c r="AJ14" s="28" t="s">
        <v>1010</v>
      </c>
      <c r="AK14" s="28" t="s">
        <v>1011</v>
      </c>
      <c r="AL14" s="28" t="s">
        <v>1012</v>
      </c>
      <c r="AM14" s="28" t="s">
        <v>1011</v>
      </c>
      <c r="AN14" s="28"/>
      <c r="AO14" s="28" t="s">
        <v>1011</v>
      </c>
      <c r="AP14" s="28" t="s">
        <v>1011</v>
      </c>
      <c r="AQ14" s="28" t="s">
        <v>1001</v>
      </c>
      <c r="AR14" s="28"/>
      <c r="AS14" s="28" t="s">
        <v>1012</v>
      </c>
      <c r="AT14" s="28" t="s">
        <v>1012</v>
      </c>
      <c r="AU14" s="28" t="s">
        <v>1012</v>
      </c>
      <c r="AV14" s="28" t="s">
        <v>1012</v>
      </c>
      <c r="AW14" s="28" t="s">
        <v>1012</v>
      </c>
      <c r="AX14" s="28" t="s">
        <v>1012</v>
      </c>
      <c r="AY14" s="28" t="s">
        <v>1012</v>
      </c>
      <c r="AZ14" s="28" t="s">
        <v>1012</v>
      </c>
      <c r="BA14" s="28" t="s">
        <v>1012</v>
      </c>
      <c r="BB14" s="28" t="s">
        <v>1012</v>
      </c>
      <c r="BC14" s="28" t="s">
        <v>1012</v>
      </c>
      <c r="BD14" s="28" t="s">
        <v>1012</v>
      </c>
      <c r="BE14" s="28" t="s">
        <v>1012</v>
      </c>
      <c r="BF14" s="28" t="s">
        <v>1012</v>
      </c>
      <c r="BG14" s="28" t="s">
        <v>1012</v>
      </c>
      <c r="BH14" s="28" t="s">
        <v>1012</v>
      </c>
      <c r="BI14" s="28" t="s">
        <v>1012</v>
      </c>
      <c r="BJ14" s="28" t="s">
        <v>1012</v>
      </c>
      <c r="BK14" s="28" t="s">
        <v>1012</v>
      </c>
      <c r="BL14" s="28" t="s">
        <v>1012</v>
      </c>
      <c r="BM14" s="28" t="s">
        <v>1012</v>
      </c>
      <c r="BN14" s="28" t="s">
        <v>1012</v>
      </c>
      <c r="BO14" s="28" t="s">
        <v>1012</v>
      </c>
      <c r="BP14" s="28" t="s">
        <v>1012</v>
      </c>
      <c r="BQ14" s="28" t="s">
        <v>1012</v>
      </c>
      <c r="BR14" s="28" t="s">
        <v>1012</v>
      </c>
      <c r="BS14" s="28" t="s">
        <v>1012</v>
      </c>
      <c r="BT14" s="28" t="s">
        <v>1012</v>
      </c>
      <c r="BU14" s="28" t="s">
        <v>1012</v>
      </c>
      <c r="BV14" s="28" t="s">
        <v>1012</v>
      </c>
      <c r="BW14" s="28" t="s">
        <v>1012</v>
      </c>
      <c r="BX14" s="28" t="s">
        <v>1012</v>
      </c>
      <c r="BY14" s="28" t="s">
        <v>1012</v>
      </c>
      <c r="BZ14" s="28" t="s">
        <v>1012</v>
      </c>
      <c r="CA14" s="28" t="s">
        <v>1012</v>
      </c>
      <c r="CB14" s="28" t="s">
        <v>1012</v>
      </c>
      <c r="CC14" s="28" t="s">
        <v>1012</v>
      </c>
      <c r="CD14" s="28" t="s">
        <v>1012</v>
      </c>
      <c r="CE14" s="28" t="s">
        <v>1012</v>
      </c>
      <c r="CF14" s="28" t="s">
        <v>1012</v>
      </c>
      <c r="CG14" s="28" t="s">
        <v>1012</v>
      </c>
      <c r="CH14" s="28" t="s">
        <v>1012</v>
      </c>
      <c r="CI14" s="28" t="s">
        <v>1012</v>
      </c>
      <c r="CJ14" s="28" t="s">
        <v>1012</v>
      </c>
      <c r="CK14" s="28" t="s">
        <v>1012</v>
      </c>
      <c r="CL14" s="28" t="s">
        <v>1012</v>
      </c>
      <c r="CM14" s="28" t="s">
        <v>1012</v>
      </c>
      <c r="CN14" s="28" t="s">
        <v>1012</v>
      </c>
      <c r="CO14" s="28" t="s">
        <v>1012</v>
      </c>
      <c r="CP14" s="28" t="s">
        <v>1012</v>
      </c>
      <c r="CQ14" s="28" t="s">
        <v>1012</v>
      </c>
      <c r="CR14" s="28"/>
      <c r="CS14" s="28" t="s">
        <v>973</v>
      </c>
      <c r="CT14" s="28" t="s">
        <v>1010</v>
      </c>
      <c r="CU14" s="28" t="s">
        <v>1009</v>
      </c>
      <c r="CV14" s="28" t="s">
        <v>1010</v>
      </c>
      <c r="CW14" s="28"/>
      <c r="CX14" s="28" t="s">
        <v>1010</v>
      </c>
      <c r="CY14" s="28" t="s">
        <v>911</v>
      </c>
      <c r="CZ14" s="28" t="s">
        <v>969</v>
      </c>
      <c r="DA14" s="28" t="s">
        <v>973</v>
      </c>
      <c r="DB14" s="28" t="s">
        <v>1011</v>
      </c>
      <c r="DC14" s="28" t="s">
        <v>911</v>
      </c>
      <c r="DD14" s="28" t="s">
        <v>1012</v>
      </c>
      <c r="DE14" s="28"/>
      <c r="DF14" s="12">
        <v>13</v>
      </c>
      <c r="DH14" s="97">
        <v>12</v>
      </c>
      <c r="DI14" s="12" t="s">
        <v>1265</v>
      </c>
      <c r="DJ14" s="12">
        <v>-15</v>
      </c>
      <c r="DK14" s="12">
        <v>-110</v>
      </c>
      <c r="DL14" s="12">
        <v>30</v>
      </c>
      <c r="DM14" s="12">
        <v>15</v>
      </c>
      <c r="DN14" s="98">
        <v>2</v>
      </c>
      <c r="DQ14" s="35">
        <v>11</v>
      </c>
      <c r="DR14" s="21">
        <v>21</v>
      </c>
      <c r="DS14" s="21">
        <v>32</v>
      </c>
      <c r="DT14" s="21">
        <v>11</v>
      </c>
      <c r="DU14" s="21">
        <v>53</v>
      </c>
      <c r="DV14" s="31">
        <f t="shared" si="3"/>
        <v>65</v>
      </c>
      <c r="DW14" s="30">
        <f t="shared" si="6"/>
        <v>65</v>
      </c>
      <c r="DX14" s="36">
        <v>11</v>
      </c>
      <c r="DY14" s="23">
        <v>53</v>
      </c>
      <c r="DZ14" s="12">
        <v>12</v>
      </c>
      <c r="EA14" s="12">
        <f t="shared" ref="EA14:EA22" si="35">EA13+8</f>
        <v>106</v>
      </c>
      <c r="EB14" s="12">
        <f t="shared" ref="EB14:EB22" si="36">EB13+6</f>
        <v>92</v>
      </c>
      <c r="EC14" s="12">
        <f t="shared" ref="EC14:EC22" si="37">EC13+6</f>
        <v>82</v>
      </c>
      <c r="ED14" s="12">
        <f t="shared" ref="ED14:ED22" si="38">ED13+5</f>
        <v>80</v>
      </c>
      <c r="EE14" s="12">
        <f t="shared" ref="EE14:EE22" si="39">EE13+5</f>
        <v>80</v>
      </c>
      <c r="EF14" s="12">
        <f t="shared" ref="EF14:EF22" si="40">EF13+5</f>
        <v>80</v>
      </c>
      <c r="EG14" s="12">
        <f t="shared" ref="EG14:EG22" si="41">EG13+5</f>
        <v>80</v>
      </c>
      <c r="EH14" s="12">
        <f t="shared" ref="EH14:EH22" si="42">EH13+4</f>
        <v>78</v>
      </c>
      <c r="EI14" s="12">
        <f t="shared" ref="EI14:EI22" si="43">EI13+4</f>
        <v>78</v>
      </c>
      <c r="EJ14" s="12">
        <f t="shared" ref="EJ14:EJ22" si="44">EJ13+3</f>
        <v>76</v>
      </c>
      <c r="EK14" s="12">
        <f t="shared" ref="EK14:EK22" si="45">EK13+5</f>
        <v>70</v>
      </c>
      <c r="EL14" s="12">
        <f t="shared" ref="EL14:EL22" si="46">EL13+5</f>
        <v>70</v>
      </c>
      <c r="EM14" s="12">
        <f t="shared" ref="EM14:EM22" si="47">EM13+5</f>
        <v>70</v>
      </c>
      <c r="EN14" s="12">
        <f t="shared" ref="EN14:EN22" si="48">EN13+4</f>
        <v>68</v>
      </c>
      <c r="EO14" s="12">
        <f t="shared" ref="EO14:EO22" si="49">EO13+4</f>
        <v>68</v>
      </c>
      <c r="EP14" s="12">
        <f t="shared" ref="EP14:EP22" si="50">EP13+3</f>
        <v>66</v>
      </c>
      <c r="EQ14" s="12">
        <f t="shared" ref="EQ14:EQ22" si="51">EQ13+3</f>
        <v>66</v>
      </c>
      <c r="ER14" s="12">
        <f t="shared" ref="ER14:ER22" si="52">ER13+4</f>
        <v>58</v>
      </c>
      <c r="ES14" s="12">
        <f t="shared" ref="ES14:ES22" si="53">ES13+3</f>
        <v>56</v>
      </c>
      <c r="ET14" s="12">
        <f t="shared" ref="ET14:ET22" si="54">ET13+3</f>
        <v>56</v>
      </c>
      <c r="EU14" s="12">
        <f t="shared" ref="EU14:EU22" si="55">EU13+3</f>
        <v>46</v>
      </c>
      <c r="EV14" s="12">
        <f t="shared" ref="EV14:EV22" si="56">EV13+3</f>
        <v>46</v>
      </c>
      <c r="EW14" s="12">
        <f t="shared" ref="EW14:EW22" si="57">EW13+2</f>
        <v>34</v>
      </c>
      <c r="EX14" s="12">
        <f t="shared" ref="EX14:EX22" si="58">EX13+2</f>
        <v>34</v>
      </c>
      <c r="EY14" s="12">
        <f t="shared" ref="EY14:EY22" si="59">EY13+1</f>
        <v>22</v>
      </c>
      <c r="EZ14" s="12">
        <v>14</v>
      </c>
      <c r="FD14" s="12">
        <f>Skills!K329</f>
        <v>-3.0098699999999998</v>
      </c>
      <c r="FE14" s="12" t="str">
        <f>Skills!B329</f>
        <v>Artillery</v>
      </c>
      <c r="FH14" s="12">
        <v>210000</v>
      </c>
      <c r="FI14" s="12">
        <v>12</v>
      </c>
      <c r="FJ14" s="12">
        <v>210000</v>
      </c>
    </row>
    <row r="15" spans="1:166" ht="13.35" customHeight="1" thickBot="1" x14ac:dyDescent="0.25">
      <c r="A15" s="21">
        <f t="shared" si="1"/>
        <v>14</v>
      </c>
      <c r="B15" s="22">
        <f t="shared" si="34"/>
        <v>-4</v>
      </c>
      <c r="C15" s="21">
        <f t="shared" si="2"/>
        <v>14</v>
      </c>
      <c r="E15" s="27" t="s">
        <v>489</v>
      </c>
      <c r="F15" s="28" t="s">
        <v>988</v>
      </c>
      <c r="G15" s="28" t="s">
        <v>1001</v>
      </c>
      <c r="H15" s="28" t="s">
        <v>1010</v>
      </c>
      <c r="I15" s="28" t="s">
        <v>989</v>
      </c>
      <c r="J15" s="28" t="s">
        <v>1001</v>
      </c>
      <c r="K15" s="28" t="s">
        <v>1017</v>
      </c>
      <c r="L15" s="28" t="s">
        <v>1017</v>
      </c>
      <c r="M15" s="28" t="s">
        <v>911</v>
      </c>
      <c r="N15" s="28" t="s">
        <v>911</v>
      </c>
      <c r="O15" s="28" t="s">
        <v>1018</v>
      </c>
      <c r="P15" s="28" t="s">
        <v>1018</v>
      </c>
      <c r="Q15" s="28" t="s">
        <v>1017</v>
      </c>
      <c r="R15" s="28" t="s">
        <v>1017</v>
      </c>
      <c r="S15" s="28" t="s">
        <v>1017</v>
      </c>
      <c r="T15" s="28" t="s">
        <v>1009</v>
      </c>
      <c r="U15" s="28" t="s">
        <v>1010</v>
      </c>
      <c r="V15" s="28" t="s">
        <v>1009</v>
      </c>
      <c r="W15" s="28" t="s">
        <v>1013</v>
      </c>
      <c r="X15" s="28" t="s">
        <v>1013</v>
      </c>
      <c r="Y15" s="28" t="s">
        <v>1013</v>
      </c>
      <c r="Z15" s="28"/>
      <c r="AA15" s="28" t="s">
        <v>1017</v>
      </c>
      <c r="AB15" s="28" t="s">
        <v>1017</v>
      </c>
      <c r="AC15" s="28" t="s">
        <v>1009</v>
      </c>
      <c r="AD15" s="28" t="s">
        <v>1001</v>
      </c>
      <c r="AE15" s="28"/>
      <c r="AF15" s="28" t="s">
        <v>1017</v>
      </c>
      <c r="AG15" s="28" t="s">
        <v>1017</v>
      </c>
      <c r="AH15" s="28" t="s">
        <v>1009</v>
      </c>
      <c r="AI15" s="28"/>
      <c r="AJ15" s="28" t="s">
        <v>1010</v>
      </c>
      <c r="AK15" s="28" t="s">
        <v>1017</v>
      </c>
      <c r="AL15" s="28" t="s">
        <v>1018</v>
      </c>
      <c r="AM15" s="28" t="s">
        <v>1017</v>
      </c>
      <c r="AN15" s="28"/>
      <c r="AO15" s="28" t="s">
        <v>1017</v>
      </c>
      <c r="AP15" s="28" t="s">
        <v>1017</v>
      </c>
      <c r="AQ15" s="28" t="s">
        <v>1009</v>
      </c>
      <c r="AR15" s="28"/>
      <c r="AS15" s="28" t="s">
        <v>1012</v>
      </c>
      <c r="AT15" s="28" t="s">
        <v>1012</v>
      </c>
      <c r="AU15" s="28" t="s">
        <v>1012</v>
      </c>
      <c r="AV15" s="28" t="s">
        <v>1012</v>
      </c>
      <c r="AW15" s="28" t="s">
        <v>1012</v>
      </c>
      <c r="AX15" s="28" t="s">
        <v>1012</v>
      </c>
      <c r="AY15" s="28" t="s">
        <v>1012</v>
      </c>
      <c r="AZ15" s="28" t="s">
        <v>1012</v>
      </c>
      <c r="BA15" s="28" t="s">
        <v>1012</v>
      </c>
      <c r="BB15" s="28" t="s">
        <v>1012</v>
      </c>
      <c r="BC15" s="28" t="s">
        <v>1012</v>
      </c>
      <c r="BD15" s="28" t="s">
        <v>1012</v>
      </c>
      <c r="BE15" s="28" t="s">
        <v>1012</v>
      </c>
      <c r="BF15" s="28" t="s">
        <v>1012</v>
      </c>
      <c r="BG15" s="28" t="s">
        <v>1012</v>
      </c>
      <c r="BH15" s="28" t="s">
        <v>1012</v>
      </c>
      <c r="BI15" s="28" t="s">
        <v>1012</v>
      </c>
      <c r="BJ15" s="28" t="s">
        <v>1012</v>
      </c>
      <c r="BK15" s="28" t="s">
        <v>1012</v>
      </c>
      <c r="BL15" s="28" t="s">
        <v>1012</v>
      </c>
      <c r="BM15" s="28" t="s">
        <v>1012</v>
      </c>
      <c r="BN15" s="28" t="s">
        <v>1012</v>
      </c>
      <c r="BO15" s="28" t="s">
        <v>1012</v>
      </c>
      <c r="BP15" s="28" t="s">
        <v>1012</v>
      </c>
      <c r="BQ15" s="28" t="s">
        <v>1012</v>
      </c>
      <c r="BR15" s="28" t="s">
        <v>1012</v>
      </c>
      <c r="BS15" s="28" t="s">
        <v>1012</v>
      </c>
      <c r="BT15" s="28" t="s">
        <v>1012</v>
      </c>
      <c r="BU15" s="28" t="s">
        <v>1012</v>
      </c>
      <c r="BV15" s="28" t="s">
        <v>1012</v>
      </c>
      <c r="BW15" s="28" t="s">
        <v>1012</v>
      </c>
      <c r="BX15" s="28" t="s">
        <v>1012</v>
      </c>
      <c r="BY15" s="28" t="s">
        <v>1012</v>
      </c>
      <c r="BZ15" s="28" t="s">
        <v>1012</v>
      </c>
      <c r="CA15" s="28" t="s">
        <v>1012</v>
      </c>
      <c r="CB15" s="28" t="s">
        <v>1012</v>
      </c>
      <c r="CC15" s="28" t="s">
        <v>1012</v>
      </c>
      <c r="CD15" s="28" t="s">
        <v>1012</v>
      </c>
      <c r="CE15" s="28" t="s">
        <v>1012</v>
      </c>
      <c r="CF15" s="28" t="s">
        <v>1012</v>
      </c>
      <c r="CG15" s="28" t="s">
        <v>1012</v>
      </c>
      <c r="CH15" s="28" t="s">
        <v>1012</v>
      </c>
      <c r="CI15" s="28" t="s">
        <v>1012</v>
      </c>
      <c r="CJ15" s="28" t="s">
        <v>1012</v>
      </c>
      <c r="CK15" s="28" t="s">
        <v>1012</v>
      </c>
      <c r="CL15" s="28" t="s">
        <v>1012</v>
      </c>
      <c r="CM15" s="28" t="s">
        <v>1012</v>
      </c>
      <c r="CN15" s="28" t="s">
        <v>1012</v>
      </c>
      <c r="CO15" s="28" t="s">
        <v>1012</v>
      </c>
      <c r="CP15" s="28" t="s">
        <v>1012</v>
      </c>
      <c r="CQ15" s="28" t="s">
        <v>1012</v>
      </c>
      <c r="CR15" s="28"/>
      <c r="CS15" s="28" t="s">
        <v>1001</v>
      </c>
      <c r="CT15" s="28" t="s">
        <v>1001</v>
      </c>
      <c r="CU15" s="28" t="s">
        <v>1019</v>
      </c>
      <c r="CV15" s="28" t="s">
        <v>991</v>
      </c>
      <c r="CW15" s="28"/>
      <c r="CX15" s="28" t="s">
        <v>1010</v>
      </c>
      <c r="CY15" s="28" t="s">
        <v>911</v>
      </c>
      <c r="CZ15" s="28" t="s">
        <v>911</v>
      </c>
      <c r="DA15" s="28" t="s">
        <v>1001</v>
      </c>
      <c r="DB15" s="28" t="s">
        <v>1017</v>
      </c>
      <c r="DC15" s="28" t="s">
        <v>911</v>
      </c>
      <c r="DD15" s="28" t="s">
        <v>1018</v>
      </c>
      <c r="DE15" s="28"/>
      <c r="DF15" s="12">
        <v>14</v>
      </c>
      <c r="DH15" s="97">
        <v>13</v>
      </c>
      <c r="DI15" s="12" t="s">
        <v>1271</v>
      </c>
      <c r="DJ15" s="12">
        <v>-10</v>
      </c>
      <c r="DK15" s="12">
        <v>-70</v>
      </c>
      <c r="DL15" s="12">
        <v>0</v>
      </c>
      <c r="DM15" s="12">
        <v>5</v>
      </c>
      <c r="DN15" s="98">
        <v>3</v>
      </c>
      <c r="DQ15" s="35">
        <v>12</v>
      </c>
      <c r="DR15" s="21">
        <v>22</v>
      </c>
      <c r="DS15" s="21">
        <v>34</v>
      </c>
      <c r="DT15" s="21">
        <v>12</v>
      </c>
      <c r="DU15" s="21">
        <v>56</v>
      </c>
      <c r="DV15" s="31">
        <f t="shared" si="3"/>
        <v>70</v>
      </c>
      <c r="DW15" s="30">
        <f t="shared" si="6"/>
        <v>70</v>
      </c>
      <c r="DX15" s="36">
        <v>12</v>
      </c>
      <c r="DY15" s="23">
        <v>56</v>
      </c>
      <c r="DZ15" s="12">
        <v>13</v>
      </c>
      <c r="EA15" s="12">
        <f t="shared" si="35"/>
        <v>114</v>
      </c>
      <c r="EB15" s="12">
        <f t="shared" si="36"/>
        <v>98</v>
      </c>
      <c r="EC15" s="12">
        <f t="shared" si="37"/>
        <v>88</v>
      </c>
      <c r="ED15" s="12">
        <f t="shared" si="38"/>
        <v>85</v>
      </c>
      <c r="EE15" s="12">
        <f t="shared" si="39"/>
        <v>85</v>
      </c>
      <c r="EF15" s="12">
        <f t="shared" si="40"/>
        <v>85</v>
      </c>
      <c r="EG15" s="12">
        <f t="shared" si="41"/>
        <v>85</v>
      </c>
      <c r="EH15" s="12">
        <f t="shared" si="42"/>
        <v>82</v>
      </c>
      <c r="EI15" s="12">
        <f t="shared" si="43"/>
        <v>82</v>
      </c>
      <c r="EJ15" s="12">
        <f t="shared" si="44"/>
        <v>79</v>
      </c>
      <c r="EK15" s="12">
        <f t="shared" si="45"/>
        <v>75</v>
      </c>
      <c r="EL15" s="12">
        <f t="shared" si="46"/>
        <v>75</v>
      </c>
      <c r="EM15" s="12">
        <f t="shared" si="47"/>
        <v>75</v>
      </c>
      <c r="EN15" s="12">
        <f t="shared" si="48"/>
        <v>72</v>
      </c>
      <c r="EO15" s="12">
        <f t="shared" si="49"/>
        <v>72</v>
      </c>
      <c r="EP15" s="12">
        <f t="shared" si="50"/>
        <v>69</v>
      </c>
      <c r="EQ15" s="12">
        <f t="shared" si="51"/>
        <v>69</v>
      </c>
      <c r="ER15" s="12">
        <f t="shared" si="52"/>
        <v>62</v>
      </c>
      <c r="ES15" s="12">
        <f t="shared" si="53"/>
        <v>59</v>
      </c>
      <c r="ET15" s="12">
        <f t="shared" si="54"/>
        <v>59</v>
      </c>
      <c r="EU15" s="12">
        <f t="shared" si="55"/>
        <v>49</v>
      </c>
      <c r="EV15" s="12">
        <f t="shared" si="56"/>
        <v>49</v>
      </c>
      <c r="EW15" s="12">
        <f t="shared" si="57"/>
        <v>36</v>
      </c>
      <c r="EX15" s="12">
        <f t="shared" si="58"/>
        <v>36</v>
      </c>
      <c r="EY15" s="12">
        <f t="shared" si="59"/>
        <v>23</v>
      </c>
      <c r="EZ15" s="12">
        <v>15</v>
      </c>
      <c r="FD15" s="12">
        <f>Skills!K331</f>
        <v>4.9901400000000002</v>
      </c>
      <c r="FE15" s="12" t="str">
        <f>Skills!B331</f>
        <v>Pole Arm</v>
      </c>
      <c r="FH15" s="12">
        <v>240000</v>
      </c>
      <c r="FI15" s="12">
        <v>13</v>
      </c>
      <c r="FJ15" s="12">
        <v>240000</v>
      </c>
    </row>
    <row r="16" spans="1:166" ht="13.35" customHeight="1" thickBot="1" x14ac:dyDescent="0.25">
      <c r="A16" s="21">
        <f t="shared" si="1"/>
        <v>15</v>
      </c>
      <c r="B16" s="22">
        <f t="shared" si="34"/>
        <v>-4</v>
      </c>
      <c r="C16" s="21">
        <f t="shared" si="2"/>
        <v>15</v>
      </c>
      <c r="E16" s="27" t="s">
        <v>498</v>
      </c>
      <c r="F16" s="28" t="s">
        <v>910</v>
      </c>
      <c r="G16" s="28" t="s">
        <v>910</v>
      </c>
      <c r="H16" s="28" t="s">
        <v>910</v>
      </c>
      <c r="I16" s="28" t="s">
        <v>910</v>
      </c>
      <c r="J16" s="28" t="s">
        <v>908</v>
      </c>
      <c r="K16" s="28" t="s">
        <v>908</v>
      </c>
      <c r="L16" s="28" t="s">
        <v>967</v>
      </c>
      <c r="M16" s="28" t="s">
        <v>908</v>
      </c>
      <c r="N16" s="28" t="s">
        <v>1020</v>
      </c>
      <c r="O16" s="28" t="s">
        <v>908</v>
      </c>
      <c r="P16" s="28" t="s">
        <v>908</v>
      </c>
      <c r="Q16" s="28" t="s">
        <v>908</v>
      </c>
      <c r="R16" s="28" t="s">
        <v>967</v>
      </c>
      <c r="S16" s="28" t="s">
        <v>908</v>
      </c>
      <c r="T16" s="28" t="s">
        <v>910</v>
      </c>
      <c r="U16" s="28" t="s">
        <v>910</v>
      </c>
      <c r="V16" s="28" t="s">
        <v>910</v>
      </c>
      <c r="W16" s="28" t="s">
        <v>908</v>
      </c>
      <c r="X16" s="28" t="s">
        <v>967</v>
      </c>
      <c r="Y16" s="28" t="s">
        <v>967</v>
      </c>
      <c r="Z16" s="28"/>
      <c r="AA16" s="28" t="s">
        <v>908</v>
      </c>
      <c r="AB16" s="28" t="s">
        <v>908</v>
      </c>
      <c r="AC16" s="28" t="s">
        <v>910</v>
      </c>
      <c r="AD16" s="28" t="s">
        <v>910</v>
      </c>
      <c r="AE16" s="28"/>
      <c r="AF16" s="28" t="s">
        <v>967</v>
      </c>
      <c r="AG16" s="28" t="s">
        <v>908</v>
      </c>
      <c r="AH16" s="28" t="s">
        <v>910</v>
      </c>
      <c r="AI16" s="28"/>
      <c r="AJ16" s="28" t="s">
        <v>910</v>
      </c>
      <c r="AK16" s="28" t="s">
        <v>967</v>
      </c>
      <c r="AL16" s="28" t="s">
        <v>967</v>
      </c>
      <c r="AM16" s="28" t="s">
        <v>967</v>
      </c>
      <c r="AN16" s="28"/>
      <c r="AO16" s="28" t="s">
        <v>908</v>
      </c>
      <c r="AP16" s="28" t="s">
        <v>908</v>
      </c>
      <c r="AQ16" s="28" t="s">
        <v>910</v>
      </c>
      <c r="AR16" s="28"/>
      <c r="AS16" s="28" t="s">
        <v>908</v>
      </c>
      <c r="AT16" s="28" t="s">
        <v>908</v>
      </c>
      <c r="AU16" s="28" t="s">
        <v>908</v>
      </c>
      <c r="AV16" s="28" t="s">
        <v>908</v>
      </c>
      <c r="AW16" s="28" t="s">
        <v>908</v>
      </c>
      <c r="AX16" s="28" t="s">
        <v>908</v>
      </c>
      <c r="AY16" s="28" t="s">
        <v>908</v>
      </c>
      <c r="AZ16" s="28" t="s">
        <v>908</v>
      </c>
      <c r="BA16" s="28" t="s">
        <v>908</v>
      </c>
      <c r="BB16" s="28" t="s">
        <v>908</v>
      </c>
      <c r="BC16" s="28" t="s">
        <v>908</v>
      </c>
      <c r="BD16" s="28" t="s">
        <v>908</v>
      </c>
      <c r="BE16" s="28" t="s">
        <v>908</v>
      </c>
      <c r="BF16" s="28" t="s">
        <v>908</v>
      </c>
      <c r="BG16" s="28" t="s">
        <v>908</v>
      </c>
      <c r="BH16" s="28" t="s">
        <v>908</v>
      </c>
      <c r="BI16" s="28" t="s">
        <v>908</v>
      </c>
      <c r="BJ16" s="28" t="s">
        <v>908</v>
      </c>
      <c r="BK16" s="28" t="s">
        <v>908</v>
      </c>
      <c r="BL16" s="28" t="s">
        <v>908</v>
      </c>
      <c r="BM16" s="28" t="s">
        <v>908</v>
      </c>
      <c r="BN16" s="28" t="s">
        <v>908</v>
      </c>
      <c r="BO16" s="28" t="s">
        <v>908</v>
      </c>
      <c r="BP16" s="28" t="s">
        <v>908</v>
      </c>
      <c r="BQ16" s="28" t="s">
        <v>908</v>
      </c>
      <c r="BR16" s="28" t="s">
        <v>908</v>
      </c>
      <c r="BS16" s="28" t="s">
        <v>908</v>
      </c>
      <c r="BT16" s="28" t="s">
        <v>908</v>
      </c>
      <c r="BU16" s="28" t="s">
        <v>908</v>
      </c>
      <c r="BV16" s="28" t="s">
        <v>908</v>
      </c>
      <c r="BW16" s="28" t="s">
        <v>908</v>
      </c>
      <c r="BX16" s="28" t="s">
        <v>908</v>
      </c>
      <c r="BY16" s="28" t="s">
        <v>908</v>
      </c>
      <c r="BZ16" s="28" t="s">
        <v>908</v>
      </c>
      <c r="CA16" s="28" t="s">
        <v>908</v>
      </c>
      <c r="CB16" s="28" t="s">
        <v>908</v>
      </c>
      <c r="CC16" s="28" t="s">
        <v>908</v>
      </c>
      <c r="CD16" s="28" t="s">
        <v>908</v>
      </c>
      <c r="CE16" s="28" t="s">
        <v>908</v>
      </c>
      <c r="CF16" s="28" t="s">
        <v>908</v>
      </c>
      <c r="CG16" s="28" t="s">
        <v>908</v>
      </c>
      <c r="CH16" s="28" t="s">
        <v>908</v>
      </c>
      <c r="CI16" s="28" t="s">
        <v>908</v>
      </c>
      <c r="CJ16" s="28" t="s">
        <v>908</v>
      </c>
      <c r="CK16" s="28" t="s">
        <v>908</v>
      </c>
      <c r="CL16" s="28" t="s">
        <v>908</v>
      </c>
      <c r="CM16" s="28" t="s">
        <v>908</v>
      </c>
      <c r="CN16" s="28" t="s">
        <v>908</v>
      </c>
      <c r="CO16" s="28" t="s">
        <v>908</v>
      </c>
      <c r="CP16" s="28" t="s">
        <v>908</v>
      </c>
      <c r="CQ16" s="28" t="s">
        <v>908</v>
      </c>
      <c r="CR16" s="28"/>
      <c r="CS16" s="28" t="s">
        <v>909</v>
      </c>
      <c r="CT16" s="28" t="s">
        <v>908</v>
      </c>
      <c r="CU16" s="28" t="s">
        <v>967</v>
      </c>
      <c r="CV16" s="28" t="s">
        <v>908</v>
      </c>
      <c r="CW16" s="28"/>
      <c r="CX16" s="28" t="s">
        <v>910</v>
      </c>
      <c r="CY16" s="28" t="s">
        <v>908</v>
      </c>
      <c r="CZ16" s="28" t="s">
        <v>908</v>
      </c>
      <c r="DA16" s="28" t="s">
        <v>909</v>
      </c>
      <c r="DB16" s="28" t="s">
        <v>908</v>
      </c>
      <c r="DC16" s="28" t="s">
        <v>908</v>
      </c>
      <c r="DD16" s="28" t="s">
        <v>908</v>
      </c>
      <c r="DE16" s="28"/>
      <c r="DF16" s="12">
        <v>15</v>
      </c>
      <c r="DH16" s="97">
        <v>14</v>
      </c>
      <c r="DI16" s="12" t="s">
        <v>1275</v>
      </c>
      <c r="DJ16" s="12">
        <v>-15</v>
      </c>
      <c r="DK16" s="12">
        <v>-90</v>
      </c>
      <c r="DL16" s="12">
        <v>10</v>
      </c>
      <c r="DM16" s="12">
        <v>10</v>
      </c>
      <c r="DN16" s="98">
        <v>3</v>
      </c>
      <c r="DQ16" s="35">
        <v>13</v>
      </c>
      <c r="DR16" s="21">
        <v>23</v>
      </c>
      <c r="DS16" s="21">
        <v>36</v>
      </c>
      <c r="DT16" s="21">
        <v>13</v>
      </c>
      <c r="DU16" s="21">
        <v>59</v>
      </c>
      <c r="DV16" s="31">
        <f t="shared" si="3"/>
        <v>75</v>
      </c>
      <c r="DW16" s="30">
        <f t="shared" si="6"/>
        <v>75</v>
      </c>
      <c r="DX16" s="36">
        <v>13</v>
      </c>
      <c r="DY16" s="23">
        <v>59</v>
      </c>
      <c r="DZ16" s="12">
        <v>14</v>
      </c>
      <c r="EA16" s="12">
        <f t="shared" si="35"/>
        <v>122</v>
      </c>
      <c r="EB16" s="12">
        <f t="shared" si="36"/>
        <v>104</v>
      </c>
      <c r="EC16" s="12">
        <f t="shared" si="37"/>
        <v>94</v>
      </c>
      <c r="ED16" s="12">
        <f t="shared" si="38"/>
        <v>90</v>
      </c>
      <c r="EE16" s="12">
        <f t="shared" si="39"/>
        <v>90</v>
      </c>
      <c r="EF16" s="12">
        <f t="shared" si="40"/>
        <v>90</v>
      </c>
      <c r="EG16" s="12">
        <f t="shared" si="41"/>
        <v>90</v>
      </c>
      <c r="EH16" s="12">
        <f t="shared" si="42"/>
        <v>86</v>
      </c>
      <c r="EI16" s="12">
        <f t="shared" si="43"/>
        <v>86</v>
      </c>
      <c r="EJ16" s="12">
        <f t="shared" si="44"/>
        <v>82</v>
      </c>
      <c r="EK16" s="12">
        <f t="shared" si="45"/>
        <v>80</v>
      </c>
      <c r="EL16" s="12">
        <f t="shared" si="46"/>
        <v>80</v>
      </c>
      <c r="EM16" s="12">
        <f t="shared" si="47"/>
        <v>80</v>
      </c>
      <c r="EN16" s="12">
        <f t="shared" si="48"/>
        <v>76</v>
      </c>
      <c r="EO16" s="12">
        <f t="shared" si="49"/>
        <v>76</v>
      </c>
      <c r="EP16" s="12">
        <f t="shared" si="50"/>
        <v>72</v>
      </c>
      <c r="EQ16" s="12">
        <f t="shared" si="51"/>
        <v>72</v>
      </c>
      <c r="ER16" s="12">
        <f t="shared" si="52"/>
        <v>66</v>
      </c>
      <c r="ES16" s="12">
        <f t="shared" si="53"/>
        <v>62</v>
      </c>
      <c r="ET16" s="12">
        <f t="shared" si="54"/>
        <v>62</v>
      </c>
      <c r="EU16" s="12">
        <f t="shared" si="55"/>
        <v>52</v>
      </c>
      <c r="EV16" s="12">
        <f t="shared" si="56"/>
        <v>52</v>
      </c>
      <c r="EW16" s="12">
        <f t="shared" si="57"/>
        <v>38</v>
      </c>
      <c r="EX16" s="12">
        <f t="shared" si="58"/>
        <v>38</v>
      </c>
      <c r="EY16" s="12">
        <f t="shared" si="59"/>
        <v>24</v>
      </c>
      <c r="EZ16" s="12">
        <v>16</v>
      </c>
      <c r="FD16" s="12">
        <f>Skills!K332</f>
        <v>4.9901499999999999</v>
      </c>
      <c r="FE16" s="12" t="str">
        <f>Skills!B332</f>
        <v>Pole Arm</v>
      </c>
      <c r="FH16" s="12">
        <v>270000</v>
      </c>
      <c r="FI16" s="12">
        <v>14</v>
      </c>
      <c r="FJ16" s="12">
        <v>270000</v>
      </c>
    </row>
    <row r="17" spans="1:166" ht="13.35" customHeight="1" thickBot="1" x14ac:dyDescent="0.25">
      <c r="A17" s="21">
        <f t="shared" si="1"/>
        <v>16</v>
      </c>
      <c r="B17" s="22">
        <f t="shared" si="34"/>
        <v>-3</v>
      </c>
      <c r="C17" s="21">
        <f t="shared" si="2"/>
        <v>16</v>
      </c>
      <c r="E17" s="27" t="s">
        <v>506</v>
      </c>
      <c r="F17" s="28" t="s">
        <v>1010</v>
      </c>
      <c r="G17" s="28" t="s">
        <v>1010</v>
      </c>
      <c r="H17" s="28" t="s">
        <v>1010</v>
      </c>
      <c r="I17" s="28" t="s">
        <v>1010</v>
      </c>
      <c r="J17" s="28" t="s">
        <v>1010</v>
      </c>
      <c r="K17" s="28" t="s">
        <v>1010</v>
      </c>
      <c r="L17" s="28" t="s">
        <v>1010</v>
      </c>
      <c r="M17" s="28" t="s">
        <v>1010</v>
      </c>
      <c r="N17" s="28" t="s">
        <v>1010</v>
      </c>
      <c r="O17" s="28" t="s">
        <v>1010</v>
      </c>
      <c r="P17" s="28" t="s">
        <v>1010</v>
      </c>
      <c r="Q17" s="28" t="s">
        <v>1010</v>
      </c>
      <c r="R17" s="28" t="s">
        <v>1010</v>
      </c>
      <c r="S17" s="28" t="s">
        <v>1010</v>
      </c>
      <c r="T17" s="28" t="s">
        <v>1010</v>
      </c>
      <c r="U17" s="28" t="s">
        <v>1010</v>
      </c>
      <c r="V17" s="28" t="s">
        <v>1010</v>
      </c>
      <c r="W17" s="28" t="s">
        <v>1010</v>
      </c>
      <c r="X17" s="28" t="s">
        <v>1010</v>
      </c>
      <c r="Y17" s="28" t="s">
        <v>1010</v>
      </c>
      <c r="Z17" s="28"/>
      <c r="AA17" s="28" t="s">
        <v>1010</v>
      </c>
      <c r="AB17" s="28" t="s">
        <v>1010</v>
      </c>
      <c r="AC17" s="28" t="s">
        <v>1010</v>
      </c>
      <c r="AD17" s="28" t="s">
        <v>1010</v>
      </c>
      <c r="AE17" s="28"/>
      <c r="AF17" s="28" t="s">
        <v>1010</v>
      </c>
      <c r="AG17" s="28" t="s">
        <v>1010</v>
      </c>
      <c r="AH17" s="28" t="s">
        <v>1010</v>
      </c>
      <c r="AI17" s="28"/>
      <c r="AJ17" s="28" t="s">
        <v>1010</v>
      </c>
      <c r="AK17" s="28" t="s">
        <v>1010</v>
      </c>
      <c r="AL17" s="28" t="s">
        <v>986</v>
      </c>
      <c r="AM17" s="28" t="s">
        <v>1010</v>
      </c>
      <c r="AN17" s="28"/>
      <c r="AO17" s="28" t="s">
        <v>1010</v>
      </c>
      <c r="AP17" s="28" t="s">
        <v>1010</v>
      </c>
      <c r="AQ17" s="28" t="s">
        <v>1010</v>
      </c>
      <c r="AR17" s="28"/>
      <c r="AS17" s="28" t="s">
        <v>1010</v>
      </c>
      <c r="AT17" s="28" t="s">
        <v>1010</v>
      </c>
      <c r="AU17" s="28" t="s">
        <v>1010</v>
      </c>
      <c r="AV17" s="28" t="s">
        <v>1010</v>
      </c>
      <c r="AW17" s="28" t="s">
        <v>1010</v>
      </c>
      <c r="AX17" s="28" t="s">
        <v>1010</v>
      </c>
      <c r="AY17" s="28" t="s">
        <v>1010</v>
      </c>
      <c r="AZ17" s="28" t="s">
        <v>1010</v>
      </c>
      <c r="BA17" s="28" t="s">
        <v>1010</v>
      </c>
      <c r="BB17" s="28" t="s">
        <v>1010</v>
      </c>
      <c r="BC17" s="28" t="s">
        <v>1010</v>
      </c>
      <c r="BD17" s="28" t="s">
        <v>1010</v>
      </c>
      <c r="BE17" s="28" t="s">
        <v>1010</v>
      </c>
      <c r="BF17" s="28" t="s">
        <v>1010</v>
      </c>
      <c r="BG17" s="28" t="s">
        <v>1010</v>
      </c>
      <c r="BH17" s="28" t="s">
        <v>1010</v>
      </c>
      <c r="BI17" s="28" t="s">
        <v>1010</v>
      </c>
      <c r="BJ17" s="28" t="s">
        <v>1010</v>
      </c>
      <c r="BK17" s="28" t="s">
        <v>1010</v>
      </c>
      <c r="BL17" s="28" t="s">
        <v>1010</v>
      </c>
      <c r="BM17" s="28" t="s">
        <v>1010</v>
      </c>
      <c r="BN17" s="28" t="s">
        <v>1010</v>
      </c>
      <c r="BO17" s="28" t="s">
        <v>1010</v>
      </c>
      <c r="BP17" s="28" t="s">
        <v>1010</v>
      </c>
      <c r="BQ17" s="28" t="s">
        <v>1010</v>
      </c>
      <c r="BR17" s="28" t="s">
        <v>1010</v>
      </c>
      <c r="BS17" s="28" t="s">
        <v>1010</v>
      </c>
      <c r="BT17" s="28" t="s">
        <v>1010</v>
      </c>
      <c r="BU17" s="28" t="s">
        <v>1010</v>
      </c>
      <c r="BV17" s="28" t="s">
        <v>1010</v>
      </c>
      <c r="BW17" s="28" t="s">
        <v>1010</v>
      </c>
      <c r="BX17" s="28" t="s">
        <v>1010</v>
      </c>
      <c r="BY17" s="28" t="s">
        <v>1010</v>
      </c>
      <c r="BZ17" s="28" t="s">
        <v>1010</v>
      </c>
      <c r="CA17" s="28" t="s">
        <v>1010</v>
      </c>
      <c r="CB17" s="28" t="s">
        <v>1010</v>
      </c>
      <c r="CC17" s="28" t="s">
        <v>1010</v>
      </c>
      <c r="CD17" s="28" t="s">
        <v>1010</v>
      </c>
      <c r="CE17" s="28" t="s">
        <v>1010</v>
      </c>
      <c r="CF17" s="28" t="s">
        <v>1010</v>
      </c>
      <c r="CG17" s="28" t="s">
        <v>1010</v>
      </c>
      <c r="CH17" s="28" t="s">
        <v>1010</v>
      </c>
      <c r="CI17" s="28" t="s">
        <v>1010</v>
      </c>
      <c r="CJ17" s="28" t="s">
        <v>1010</v>
      </c>
      <c r="CK17" s="28" t="s">
        <v>1010</v>
      </c>
      <c r="CL17" s="28" t="s">
        <v>1010</v>
      </c>
      <c r="CM17" s="28" t="s">
        <v>1010</v>
      </c>
      <c r="CN17" s="28" t="s">
        <v>1010</v>
      </c>
      <c r="CO17" s="28" t="s">
        <v>1010</v>
      </c>
      <c r="CP17" s="28" t="s">
        <v>1010</v>
      </c>
      <c r="CQ17" s="28" t="s">
        <v>1010</v>
      </c>
      <c r="CR17" s="28"/>
      <c r="CS17" s="28" t="s">
        <v>1010</v>
      </c>
      <c r="CT17" s="28" t="s">
        <v>1010</v>
      </c>
      <c r="CU17" s="28" t="s">
        <v>1010</v>
      </c>
      <c r="CV17" s="28" t="s">
        <v>1010</v>
      </c>
      <c r="CW17" s="28"/>
      <c r="CX17" s="28" t="s">
        <v>1010</v>
      </c>
      <c r="CY17" s="28" t="s">
        <v>1010</v>
      </c>
      <c r="CZ17" s="28" t="s">
        <v>1010</v>
      </c>
      <c r="DA17" s="28" t="s">
        <v>1010</v>
      </c>
      <c r="DB17" s="28" t="s">
        <v>1010</v>
      </c>
      <c r="DC17" s="28" t="s">
        <v>1010</v>
      </c>
      <c r="DD17" s="28" t="s">
        <v>1010</v>
      </c>
      <c r="DE17" s="28"/>
      <c r="DF17" s="12">
        <v>16</v>
      </c>
      <c r="DH17" s="97">
        <v>15</v>
      </c>
      <c r="DI17" s="12" t="s">
        <v>1278</v>
      </c>
      <c r="DJ17" s="12">
        <v>-25</v>
      </c>
      <c r="DK17" s="12">
        <v>-120</v>
      </c>
      <c r="DL17" s="12">
        <v>20</v>
      </c>
      <c r="DM17" s="12">
        <v>20</v>
      </c>
      <c r="DN17" s="98">
        <v>3</v>
      </c>
      <c r="DQ17" s="35">
        <v>14</v>
      </c>
      <c r="DR17" s="21">
        <v>24</v>
      </c>
      <c r="DS17" s="21">
        <v>38</v>
      </c>
      <c r="DT17" s="21">
        <v>14</v>
      </c>
      <c r="DU17" s="21">
        <v>62</v>
      </c>
      <c r="DV17" s="31">
        <f t="shared" si="3"/>
        <v>80</v>
      </c>
      <c r="DW17" s="30">
        <f t="shared" si="6"/>
        <v>80</v>
      </c>
      <c r="DX17" s="36">
        <v>14</v>
      </c>
      <c r="DY17" s="23">
        <v>62</v>
      </c>
      <c r="DZ17" s="12">
        <v>15</v>
      </c>
      <c r="EA17" s="12">
        <f t="shared" si="35"/>
        <v>130</v>
      </c>
      <c r="EB17" s="12">
        <f t="shared" si="36"/>
        <v>110</v>
      </c>
      <c r="EC17" s="12">
        <f t="shared" si="37"/>
        <v>100</v>
      </c>
      <c r="ED17" s="12">
        <f t="shared" si="38"/>
        <v>95</v>
      </c>
      <c r="EE17" s="12">
        <f t="shared" si="39"/>
        <v>95</v>
      </c>
      <c r="EF17" s="12">
        <f t="shared" si="40"/>
        <v>95</v>
      </c>
      <c r="EG17" s="12">
        <f t="shared" si="41"/>
        <v>95</v>
      </c>
      <c r="EH17" s="12">
        <f t="shared" si="42"/>
        <v>90</v>
      </c>
      <c r="EI17" s="12">
        <f t="shared" si="43"/>
        <v>90</v>
      </c>
      <c r="EJ17" s="12">
        <f t="shared" si="44"/>
        <v>85</v>
      </c>
      <c r="EK17" s="12">
        <f t="shared" si="45"/>
        <v>85</v>
      </c>
      <c r="EL17" s="12">
        <f t="shared" si="46"/>
        <v>85</v>
      </c>
      <c r="EM17" s="12">
        <f t="shared" si="47"/>
        <v>85</v>
      </c>
      <c r="EN17" s="12">
        <f t="shared" si="48"/>
        <v>80</v>
      </c>
      <c r="EO17" s="12">
        <f t="shared" si="49"/>
        <v>80</v>
      </c>
      <c r="EP17" s="12">
        <f t="shared" si="50"/>
        <v>75</v>
      </c>
      <c r="EQ17" s="12">
        <f t="shared" si="51"/>
        <v>75</v>
      </c>
      <c r="ER17" s="12">
        <f t="shared" si="52"/>
        <v>70</v>
      </c>
      <c r="ES17" s="12">
        <f t="shared" si="53"/>
        <v>65</v>
      </c>
      <c r="ET17" s="12">
        <f t="shared" si="54"/>
        <v>65</v>
      </c>
      <c r="EU17" s="12">
        <f t="shared" si="55"/>
        <v>55</v>
      </c>
      <c r="EV17" s="12">
        <f t="shared" si="56"/>
        <v>55</v>
      </c>
      <c r="EW17" s="12">
        <f t="shared" si="57"/>
        <v>40</v>
      </c>
      <c r="EX17" s="12">
        <f t="shared" si="58"/>
        <v>40</v>
      </c>
      <c r="EY17" s="12">
        <f t="shared" si="59"/>
        <v>25</v>
      </c>
      <c r="EZ17" s="12">
        <v>17</v>
      </c>
      <c r="FD17" s="12">
        <f>Skills!K333</f>
        <v>4.9901600000000004</v>
      </c>
      <c r="FE17" s="12" t="str">
        <f>Skills!B333</f>
        <v>Pole Arm</v>
      </c>
      <c r="FH17" s="12">
        <v>300000</v>
      </c>
      <c r="FI17" s="12">
        <v>15</v>
      </c>
      <c r="FJ17" s="12">
        <v>300000</v>
      </c>
    </row>
    <row r="18" spans="1:166" ht="13.35" customHeight="1" thickBot="1" x14ac:dyDescent="0.25">
      <c r="A18" s="21">
        <f t="shared" si="1"/>
        <v>17</v>
      </c>
      <c r="B18" s="22">
        <f t="shared" si="34"/>
        <v>-3</v>
      </c>
      <c r="C18" s="21">
        <f t="shared" si="2"/>
        <v>17</v>
      </c>
      <c r="E18" s="27" t="s">
        <v>524</v>
      </c>
      <c r="F18" s="28" t="s">
        <v>1022</v>
      </c>
      <c r="G18" s="28" t="s">
        <v>1022</v>
      </c>
      <c r="H18" s="28" t="s">
        <v>1022</v>
      </c>
      <c r="I18" s="28" t="s">
        <v>1022</v>
      </c>
      <c r="J18" s="28" t="s">
        <v>976</v>
      </c>
      <c r="K18" s="28" t="s">
        <v>972</v>
      </c>
      <c r="L18" s="28" t="s">
        <v>976</v>
      </c>
      <c r="M18" s="28" t="s">
        <v>990</v>
      </c>
      <c r="N18" s="28" t="s">
        <v>990</v>
      </c>
      <c r="O18" s="28" t="s">
        <v>976</v>
      </c>
      <c r="P18" s="28" t="s">
        <v>991</v>
      </c>
      <c r="Q18" s="28" t="s">
        <v>990</v>
      </c>
      <c r="R18" s="28" t="s">
        <v>976</v>
      </c>
      <c r="S18" s="28" t="s">
        <v>972</v>
      </c>
      <c r="T18" s="28" t="s">
        <v>1011</v>
      </c>
      <c r="U18" s="28" t="s">
        <v>1022</v>
      </c>
      <c r="V18" s="28" t="s">
        <v>968</v>
      </c>
      <c r="W18" s="28" t="s">
        <v>985</v>
      </c>
      <c r="X18" s="28" t="s">
        <v>911</v>
      </c>
      <c r="Y18" s="28" t="s">
        <v>911</v>
      </c>
      <c r="Z18" s="28"/>
      <c r="AA18" s="28" t="s">
        <v>972</v>
      </c>
      <c r="AB18" s="28" t="s">
        <v>990</v>
      </c>
      <c r="AC18" s="28" t="s">
        <v>911</v>
      </c>
      <c r="AD18" s="28" t="s">
        <v>1012</v>
      </c>
      <c r="AE18" s="28"/>
      <c r="AF18" s="28" t="s">
        <v>987</v>
      </c>
      <c r="AG18" s="28" t="s">
        <v>987</v>
      </c>
      <c r="AH18" s="28" t="s">
        <v>986</v>
      </c>
      <c r="AI18" s="28"/>
      <c r="AJ18" s="28" t="s">
        <v>1011</v>
      </c>
      <c r="AK18" s="28" t="s">
        <v>1010</v>
      </c>
      <c r="AL18" s="28" t="s">
        <v>991</v>
      </c>
      <c r="AM18" s="28" t="s">
        <v>990</v>
      </c>
      <c r="AN18" s="28"/>
      <c r="AO18" s="28" t="s">
        <v>990</v>
      </c>
      <c r="AP18" s="28" t="s">
        <v>990</v>
      </c>
      <c r="AQ18" s="28" t="s">
        <v>1022</v>
      </c>
      <c r="AR18" s="28"/>
      <c r="AS18" s="28" t="s">
        <v>990</v>
      </c>
      <c r="AT18" s="28" t="s">
        <v>990</v>
      </c>
      <c r="AU18" s="28" t="s">
        <v>990</v>
      </c>
      <c r="AV18" s="28" t="s">
        <v>990</v>
      </c>
      <c r="AW18" s="28" t="s">
        <v>990</v>
      </c>
      <c r="AX18" s="28" t="s">
        <v>990</v>
      </c>
      <c r="AY18" s="28" t="s">
        <v>990</v>
      </c>
      <c r="AZ18" s="28" t="s">
        <v>990</v>
      </c>
      <c r="BA18" s="28" t="s">
        <v>990</v>
      </c>
      <c r="BB18" s="28" t="s">
        <v>990</v>
      </c>
      <c r="BC18" s="28" t="s">
        <v>990</v>
      </c>
      <c r="BD18" s="28" t="s">
        <v>990</v>
      </c>
      <c r="BE18" s="28" t="s">
        <v>990</v>
      </c>
      <c r="BF18" s="28" t="s">
        <v>990</v>
      </c>
      <c r="BG18" s="28" t="s">
        <v>990</v>
      </c>
      <c r="BH18" s="28" t="s">
        <v>990</v>
      </c>
      <c r="BI18" s="28" t="s">
        <v>990</v>
      </c>
      <c r="BJ18" s="28" t="s">
        <v>990</v>
      </c>
      <c r="BK18" s="28" t="s">
        <v>990</v>
      </c>
      <c r="BL18" s="28" t="s">
        <v>990</v>
      </c>
      <c r="BM18" s="28" t="s">
        <v>990</v>
      </c>
      <c r="BN18" s="28" t="s">
        <v>990</v>
      </c>
      <c r="BO18" s="28" t="s">
        <v>990</v>
      </c>
      <c r="BP18" s="28" t="s">
        <v>990</v>
      </c>
      <c r="BQ18" s="28" t="s">
        <v>990</v>
      </c>
      <c r="BR18" s="28" t="s">
        <v>990</v>
      </c>
      <c r="BS18" s="28" t="s">
        <v>990</v>
      </c>
      <c r="BT18" s="28" t="s">
        <v>990</v>
      </c>
      <c r="BU18" s="28" t="s">
        <v>990</v>
      </c>
      <c r="BV18" s="28" t="s">
        <v>990</v>
      </c>
      <c r="BW18" s="28" t="s">
        <v>990</v>
      </c>
      <c r="BX18" s="28" t="s">
        <v>990</v>
      </c>
      <c r="BY18" s="28" t="s">
        <v>990</v>
      </c>
      <c r="BZ18" s="28" t="s">
        <v>990</v>
      </c>
      <c r="CA18" s="28" t="s">
        <v>990</v>
      </c>
      <c r="CB18" s="28" t="s">
        <v>990</v>
      </c>
      <c r="CC18" s="28" t="s">
        <v>990</v>
      </c>
      <c r="CD18" s="28" t="s">
        <v>990</v>
      </c>
      <c r="CE18" s="28" t="s">
        <v>990</v>
      </c>
      <c r="CF18" s="28" t="s">
        <v>990</v>
      </c>
      <c r="CG18" s="28" t="s">
        <v>990</v>
      </c>
      <c r="CH18" s="28" t="s">
        <v>990</v>
      </c>
      <c r="CI18" s="28" t="s">
        <v>990</v>
      </c>
      <c r="CJ18" s="28" t="s">
        <v>990</v>
      </c>
      <c r="CK18" s="28" t="s">
        <v>990</v>
      </c>
      <c r="CL18" s="28" t="s">
        <v>990</v>
      </c>
      <c r="CM18" s="28" t="s">
        <v>990</v>
      </c>
      <c r="CN18" s="28" t="s">
        <v>990</v>
      </c>
      <c r="CO18" s="28" t="s">
        <v>990</v>
      </c>
      <c r="CP18" s="28" t="s">
        <v>990</v>
      </c>
      <c r="CQ18" s="28" t="s">
        <v>990</v>
      </c>
      <c r="CR18" s="28"/>
      <c r="CS18" s="28" t="s">
        <v>1022</v>
      </c>
      <c r="CT18" s="28" t="s">
        <v>1022</v>
      </c>
      <c r="CU18" s="28" t="s">
        <v>1011</v>
      </c>
      <c r="CV18" s="28" t="s">
        <v>1022</v>
      </c>
      <c r="CW18" s="28"/>
      <c r="CX18" s="28" t="s">
        <v>1022</v>
      </c>
      <c r="CY18" s="28" t="s">
        <v>990</v>
      </c>
      <c r="CZ18" s="28" t="s">
        <v>990</v>
      </c>
      <c r="DA18" s="28" t="s">
        <v>1022</v>
      </c>
      <c r="DB18" s="28" t="s">
        <v>990</v>
      </c>
      <c r="DC18" s="28" t="s">
        <v>990</v>
      </c>
      <c r="DD18" s="28" t="s">
        <v>991</v>
      </c>
      <c r="DE18" s="28"/>
      <c r="DF18" s="12">
        <v>17</v>
      </c>
      <c r="DH18" s="97">
        <v>16</v>
      </c>
      <c r="DI18" s="12" t="s">
        <v>1287</v>
      </c>
      <c r="DJ18" s="12">
        <v>-25</v>
      </c>
      <c r="DK18" s="12">
        <v>-130</v>
      </c>
      <c r="DL18" s="12">
        <v>20</v>
      </c>
      <c r="DM18" s="12">
        <v>20</v>
      </c>
      <c r="DN18" s="98">
        <v>3</v>
      </c>
      <c r="DQ18" s="35">
        <v>15</v>
      </c>
      <c r="DR18" s="21">
        <v>25</v>
      </c>
      <c r="DS18" s="21">
        <v>40</v>
      </c>
      <c r="DT18" s="21">
        <v>15</v>
      </c>
      <c r="DU18" s="21">
        <v>65</v>
      </c>
      <c r="DV18" s="31">
        <f t="shared" si="3"/>
        <v>85</v>
      </c>
      <c r="DW18" s="30">
        <f t="shared" si="6"/>
        <v>85</v>
      </c>
      <c r="DX18" s="36">
        <v>15</v>
      </c>
      <c r="DY18" s="23">
        <v>65</v>
      </c>
      <c r="DZ18" s="12">
        <v>16</v>
      </c>
      <c r="EA18" s="12">
        <f t="shared" si="35"/>
        <v>138</v>
      </c>
      <c r="EB18" s="12">
        <f t="shared" si="36"/>
        <v>116</v>
      </c>
      <c r="EC18" s="12">
        <f t="shared" si="37"/>
        <v>106</v>
      </c>
      <c r="ED18" s="12">
        <f t="shared" si="38"/>
        <v>100</v>
      </c>
      <c r="EE18" s="12">
        <f t="shared" si="39"/>
        <v>100</v>
      </c>
      <c r="EF18" s="12">
        <f t="shared" si="40"/>
        <v>100</v>
      </c>
      <c r="EG18" s="12">
        <f t="shared" si="41"/>
        <v>100</v>
      </c>
      <c r="EH18" s="12">
        <f t="shared" si="42"/>
        <v>94</v>
      </c>
      <c r="EI18" s="12">
        <f t="shared" si="43"/>
        <v>94</v>
      </c>
      <c r="EJ18" s="12">
        <f t="shared" si="44"/>
        <v>88</v>
      </c>
      <c r="EK18" s="12">
        <f t="shared" si="45"/>
        <v>90</v>
      </c>
      <c r="EL18" s="12">
        <f t="shared" si="46"/>
        <v>90</v>
      </c>
      <c r="EM18" s="12">
        <f t="shared" si="47"/>
        <v>90</v>
      </c>
      <c r="EN18" s="12">
        <f t="shared" si="48"/>
        <v>84</v>
      </c>
      <c r="EO18" s="12">
        <f t="shared" si="49"/>
        <v>84</v>
      </c>
      <c r="EP18" s="12">
        <f t="shared" si="50"/>
        <v>78</v>
      </c>
      <c r="EQ18" s="12">
        <f t="shared" si="51"/>
        <v>78</v>
      </c>
      <c r="ER18" s="12">
        <f t="shared" si="52"/>
        <v>74</v>
      </c>
      <c r="ES18" s="12">
        <f t="shared" si="53"/>
        <v>68</v>
      </c>
      <c r="ET18" s="12">
        <f t="shared" si="54"/>
        <v>68</v>
      </c>
      <c r="EU18" s="12">
        <f t="shared" si="55"/>
        <v>58</v>
      </c>
      <c r="EV18" s="12">
        <f t="shared" si="56"/>
        <v>58</v>
      </c>
      <c r="EW18" s="12">
        <f t="shared" si="57"/>
        <v>42</v>
      </c>
      <c r="EX18" s="12">
        <f t="shared" si="58"/>
        <v>42</v>
      </c>
      <c r="EY18" s="12">
        <f t="shared" si="59"/>
        <v>26</v>
      </c>
      <c r="EZ18" s="12">
        <v>18</v>
      </c>
      <c r="FD18" s="12">
        <f>Skills!K335</f>
        <v>2.99017</v>
      </c>
      <c r="FE18" s="12" t="str">
        <f>Skills!B335</f>
        <v>Thrown</v>
      </c>
      <c r="FH18" s="12">
        <v>340000</v>
      </c>
      <c r="FI18" s="12">
        <v>16</v>
      </c>
      <c r="FJ18" s="12">
        <v>340000</v>
      </c>
    </row>
    <row r="19" spans="1:166" ht="13.35" customHeight="1" thickBot="1" x14ac:dyDescent="0.25">
      <c r="A19" s="21">
        <f t="shared" si="1"/>
        <v>18</v>
      </c>
      <c r="B19" s="22">
        <f t="shared" si="34"/>
        <v>-3</v>
      </c>
      <c r="C19" s="21">
        <f t="shared" si="2"/>
        <v>18</v>
      </c>
      <c r="E19" s="27" t="s">
        <v>527</v>
      </c>
      <c r="F19" s="28" t="s">
        <v>991</v>
      </c>
      <c r="G19" s="28" t="s">
        <v>972</v>
      </c>
      <c r="H19" s="28" t="s">
        <v>972</v>
      </c>
      <c r="I19" s="28" t="s">
        <v>991</v>
      </c>
      <c r="J19" s="28" t="s">
        <v>972</v>
      </c>
      <c r="K19" s="28" t="s">
        <v>976</v>
      </c>
      <c r="L19" s="28" t="s">
        <v>972</v>
      </c>
      <c r="M19" s="28" t="s">
        <v>973</v>
      </c>
      <c r="N19" s="28" t="s">
        <v>976</v>
      </c>
      <c r="O19" s="28" t="s">
        <v>976</v>
      </c>
      <c r="P19" s="28" t="s">
        <v>976</v>
      </c>
      <c r="Q19" s="28" t="s">
        <v>976</v>
      </c>
      <c r="R19" s="28" t="s">
        <v>975</v>
      </c>
      <c r="S19" s="28" t="s">
        <v>976</v>
      </c>
      <c r="T19" s="28" t="s">
        <v>976</v>
      </c>
      <c r="U19" s="28" t="s">
        <v>974</v>
      </c>
      <c r="V19" s="28" t="s">
        <v>976</v>
      </c>
      <c r="W19" s="28" t="s">
        <v>976</v>
      </c>
      <c r="X19" s="28" t="s">
        <v>975</v>
      </c>
      <c r="Y19" s="28" t="s">
        <v>974</v>
      </c>
      <c r="Z19" s="28"/>
      <c r="AA19" s="28" t="s">
        <v>972</v>
      </c>
      <c r="AB19" s="28" t="s">
        <v>972</v>
      </c>
      <c r="AC19" s="28" t="s">
        <v>976</v>
      </c>
      <c r="AD19" s="28" t="s">
        <v>973</v>
      </c>
      <c r="AE19" s="28"/>
      <c r="AF19" s="28" t="s">
        <v>976</v>
      </c>
      <c r="AG19" s="28" t="s">
        <v>976</v>
      </c>
      <c r="AH19" s="28" t="s">
        <v>976</v>
      </c>
      <c r="AI19" s="28"/>
      <c r="AJ19" s="28" t="s">
        <v>974</v>
      </c>
      <c r="AK19" s="28" t="s">
        <v>975</v>
      </c>
      <c r="AL19" s="28" t="s">
        <v>976</v>
      </c>
      <c r="AM19" s="28" t="s">
        <v>973</v>
      </c>
      <c r="AN19" s="28"/>
      <c r="AO19" s="28" t="s">
        <v>976</v>
      </c>
      <c r="AP19" s="28" t="s">
        <v>975</v>
      </c>
      <c r="AQ19" s="28" t="s">
        <v>975</v>
      </c>
      <c r="AR19" s="28"/>
      <c r="AS19" s="28" t="s">
        <v>973</v>
      </c>
      <c r="AT19" s="28" t="s">
        <v>973</v>
      </c>
      <c r="AU19" s="28" t="s">
        <v>973</v>
      </c>
      <c r="AV19" s="28" t="s">
        <v>973</v>
      </c>
      <c r="AW19" s="28" t="s">
        <v>973</v>
      </c>
      <c r="AX19" s="28" t="s">
        <v>973</v>
      </c>
      <c r="AY19" s="28" t="s">
        <v>973</v>
      </c>
      <c r="AZ19" s="28" t="s">
        <v>973</v>
      </c>
      <c r="BA19" s="28" t="s">
        <v>973</v>
      </c>
      <c r="BB19" s="28" t="s">
        <v>973</v>
      </c>
      <c r="BC19" s="28" t="s">
        <v>973</v>
      </c>
      <c r="BD19" s="28" t="s">
        <v>973</v>
      </c>
      <c r="BE19" s="28" t="s">
        <v>973</v>
      </c>
      <c r="BF19" s="28" t="s">
        <v>973</v>
      </c>
      <c r="BG19" s="28" t="s">
        <v>973</v>
      </c>
      <c r="BH19" s="28" t="s">
        <v>973</v>
      </c>
      <c r="BI19" s="28" t="s">
        <v>973</v>
      </c>
      <c r="BJ19" s="28" t="s">
        <v>973</v>
      </c>
      <c r="BK19" s="28" t="s">
        <v>973</v>
      </c>
      <c r="BL19" s="28" t="s">
        <v>973</v>
      </c>
      <c r="BM19" s="28" t="s">
        <v>973</v>
      </c>
      <c r="BN19" s="28" t="s">
        <v>973</v>
      </c>
      <c r="BO19" s="28" t="s">
        <v>973</v>
      </c>
      <c r="BP19" s="28" t="s">
        <v>973</v>
      </c>
      <c r="BQ19" s="28" t="s">
        <v>973</v>
      </c>
      <c r="BR19" s="28" t="s">
        <v>973</v>
      </c>
      <c r="BS19" s="28" t="s">
        <v>973</v>
      </c>
      <c r="BT19" s="28" t="s">
        <v>973</v>
      </c>
      <c r="BU19" s="28" t="s">
        <v>973</v>
      </c>
      <c r="BV19" s="28" t="s">
        <v>973</v>
      </c>
      <c r="BW19" s="28" t="s">
        <v>973</v>
      </c>
      <c r="BX19" s="28" t="s">
        <v>973</v>
      </c>
      <c r="BY19" s="28" t="s">
        <v>973</v>
      </c>
      <c r="BZ19" s="28" t="s">
        <v>973</v>
      </c>
      <c r="CA19" s="28" t="s">
        <v>973</v>
      </c>
      <c r="CB19" s="28" t="s">
        <v>973</v>
      </c>
      <c r="CC19" s="28" t="s">
        <v>973</v>
      </c>
      <c r="CD19" s="28" t="s">
        <v>973</v>
      </c>
      <c r="CE19" s="28" t="s">
        <v>973</v>
      </c>
      <c r="CF19" s="28" t="s">
        <v>973</v>
      </c>
      <c r="CG19" s="28" t="s">
        <v>973</v>
      </c>
      <c r="CH19" s="28" t="s">
        <v>973</v>
      </c>
      <c r="CI19" s="28" t="s">
        <v>973</v>
      </c>
      <c r="CJ19" s="28" t="s">
        <v>973</v>
      </c>
      <c r="CK19" s="28" t="s">
        <v>973</v>
      </c>
      <c r="CL19" s="28" t="s">
        <v>973</v>
      </c>
      <c r="CM19" s="28" t="s">
        <v>973</v>
      </c>
      <c r="CN19" s="28" t="s">
        <v>973</v>
      </c>
      <c r="CO19" s="28" t="s">
        <v>973</v>
      </c>
      <c r="CP19" s="28" t="s">
        <v>973</v>
      </c>
      <c r="CQ19" s="28" t="s">
        <v>973</v>
      </c>
      <c r="CR19" s="28"/>
      <c r="CS19" s="28" t="s">
        <v>991</v>
      </c>
      <c r="CT19" s="28" t="s">
        <v>976</v>
      </c>
      <c r="CU19" s="28" t="s">
        <v>976</v>
      </c>
      <c r="CV19" s="28" t="s">
        <v>972</v>
      </c>
      <c r="CW19" s="28"/>
      <c r="CX19" s="28" t="s">
        <v>976</v>
      </c>
      <c r="CY19" s="28" t="s">
        <v>973</v>
      </c>
      <c r="CZ19" s="28" t="s">
        <v>976</v>
      </c>
      <c r="DA19" s="28" t="s">
        <v>991</v>
      </c>
      <c r="DB19" s="28" t="s">
        <v>976</v>
      </c>
      <c r="DC19" s="28" t="s">
        <v>976</v>
      </c>
      <c r="DD19" s="28" t="s">
        <v>976</v>
      </c>
      <c r="DE19" s="28"/>
      <c r="DF19" s="12">
        <v>18</v>
      </c>
      <c r="DH19" s="97">
        <v>17</v>
      </c>
      <c r="DI19" s="12" t="s">
        <v>1291</v>
      </c>
      <c r="DJ19" s="12">
        <v>-15</v>
      </c>
      <c r="DK19" s="12">
        <v>-90</v>
      </c>
      <c r="DL19" s="12">
        <v>0</v>
      </c>
      <c r="DM19" s="12">
        <v>10</v>
      </c>
      <c r="DN19" s="98">
        <v>4</v>
      </c>
      <c r="DQ19" s="35">
        <v>16</v>
      </c>
      <c r="DR19" s="21">
        <v>26</v>
      </c>
      <c r="DS19" s="21">
        <v>42</v>
      </c>
      <c r="DT19" s="21">
        <v>16</v>
      </c>
      <c r="DU19" s="21">
        <v>68</v>
      </c>
      <c r="DV19" s="31">
        <f t="shared" si="3"/>
        <v>90</v>
      </c>
      <c r="DW19" s="30">
        <f t="shared" si="6"/>
        <v>90</v>
      </c>
      <c r="DX19" s="36">
        <v>16</v>
      </c>
      <c r="DY19" s="23">
        <v>68</v>
      </c>
      <c r="DZ19" s="12">
        <v>17</v>
      </c>
      <c r="EA19" s="12">
        <f t="shared" si="35"/>
        <v>146</v>
      </c>
      <c r="EB19" s="12">
        <f t="shared" si="36"/>
        <v>122</v>
      </c>
      <c r="EC19" s="12">
        <f t="shared" si="37"/>
        <v>112</v>
      </c>
      <c r="ED19" s="12">
        <f t="shared" si="38"/>
        <v>105</v>
      </c>
      <c r="EE19" s="12">
        <f t="shared" si="39"/>
        <v>105</v>
      </c>
      <c r="EF19" s="12">
        <f t="shared" si="40"/>
        <v>105</v>
      </c>
      <c r="EG19" s="12">
        <f t="shared" si="41"/>
        <v>105</v>
      </c>
      <c r="EH19" s="12">
        <f t="shared" si="42"/>
        <v>98</v>
      </c>
      <c r="EI19" s="12">
        <f t="shared" si="43"/>
        <v>98</v>
      </c>
      <c r="EJ19" s="12">
        <f t="shared" si="44"/>
        <v>91</v>
      </c>
      <c r="EK19" s="12">
        <f t="shared" si="45"/>
        <v>95</v>
      </c>
      <c r="EL19" s="12">
        <f t="shared" si="46"/>
        <v>95</v>
      </c>
      <c r="EM19" s="12">
        <f t="shared" si="47"/>
        <v>95</v>
      </c>
      <c r="EN19" s="12">
        <f t="shared" si="48"/>
        <v>88</v>
      </c>
      <c r="EO19" s="12">
        <f t="shared" si="49"/>
        <v>88</v>
      </c>
      <c r="EP19" s="12">
        <f t="shared" si="50"/>
        <v>81</v>
      </c>
      <c r="EQ19" s="12">
        <f t="shared" si="51"/>
        <v>81</v>
      </c>
      <c r="ER19" s="12">
        <f t="shared" si="52"/>
        <v>78</v>
      </c>
      <c r="ES19" s="12">
        <f t="shared" si="53"/>
        <v>71</v>
      </c>
      <c r="ET19" s="12">
        <f t="shared" si="54"/>
        <v>71</v>
      </c>
      <c r="EU19" s="12">
        <f t="shared" si="55"/>
        <v>61</v>
      </c>
      <c r="EV19" s="12">
        <f t="shared" si="56"/>
        <v>61</v>
      </c>
      <c r="EW19" s="12">
        <f t="shared" si="57"/>
        <v>44</v>
      </c>
      <c r="EX19" s="12">
        <f t="shared" si="58"/>
        <v>44</v>
      </c>
      <c r="EY19" s="12">
        <f t="shared" si="59"/>
        <v>27</v>
      </c>
      <c r="EZ19" s="12">
        <v>19</v>
      </c>
      <c r="FD19" s="12">
        <f>Skills!K336</f>
        <v>2.9901800000000001</v>
      </c>
      <c r="FE19" s="12" t="str">
        <f>Skills!B336</f>
        <v>Thrown</v>
      </c>
      <c r="FH19" s="12">
        <v>380000</v>
      </c>
      <c r="FI19" s="12">
        <v>17</v>
      </c>
      <c r="FJ19" s="12">
        <v>380000</v>
      </c>
    </row>
    <row r="20" spans="1:166" ht="13.35" customHeight="1" thickBot="1" x14ac:dyDescent="0.25">
      <c r="A20" s="21">
        <f t="shared" si="1"/>
        <v>19</v>
      </c>
      <c r="B20" s="22">
        <f t="shared" si="34"/>
        <v>-3</v>
      </c>
      <c r="C20" s="21">
        <f t="shared" si="2"/>
        <v>19</v>
      </c>
      <c r="E20" s="27" t="s">
        <v>537</v>
      </c>
      <c r="F20" s="28" t="s">
        <v>980</v>
      </c>
      <c r="G20" s="28" t="s">
        <v>980</v>
      </c>
      <c r="H20" s="28" t="s">
        <v>980</v>
      </c>
      <c r="I20" s="28" t="s">
        <v>980</v>
      </c>
      <c r="J20" s="28" t="s">
        <v>980</v>
      </c>
      <c r="K20" s="28" t="s">
        <v>980</v>
      </c>
      <c r="L20" s="28" t="s">
        <v>980</v>
      </c>
      <c r="M20" s="28" t="s">
        <v>980</v>
      </c>
      <c r="N20" s="28" t="s">
        <v>980</v>
      </c>
      <c r="O20" s="28" t="s">
        <v>980</v>
      </c>
      <c r="P20" s="28" t="s">
        <v>980</v>
      </c>
      <c r="Q20" s="28" t="s">
        <v>980</v>
      </c>
      <c r="R20" s="28" t="s">
        <v>980</v>
      </c>
      <c r="S20" s="28" t="s">
        <v>980</v>
      </c>
      <c r="T20" s="28" t="s">
        <v>980</v>
      </c>
      <c r="U20" s="28" t="s">
        <v>980</v>
      </c>
      <c r="V20" s="28" t="s">
        <v>980</v>
      </c>
      <c r="W20" s="28" t="s">
        <v>980</v>
      </c>
      <c r="X20" s="28" t="s">
        <v>977</v>
      </c>
      <c r="Y20" s="28" t="s">
        <v>980</v>
      </c>
      <c r="Z20" s="28"/>
      <c r="AA20" s="28" t="s">
        <v>980</v>
      </c>
      <c r="AB20" s="28" t="s">
        <v>980</v>
      </c>
      <c r="AC20" s="28" t="s">
        <v>980</v>
      </c>
      <c r="AD20" s="28" t="s">
        <v>980</v>
      </c>
      <c r="AE20" s="28"/>
      <c r="AF20" s="28" t="s">
        <v>980</v>
      </c>
      <c r="AG20" s="28" t="s">
        <v>980</v>
      </c>
      <c r="AH20" s="28" t="s">
        <v>980</v>
      </c>
      <c r="AI20" s="28"/>
      <c r="AJ20" s="28" t="s">
        <v>980</v>
      </c>
      <c r="AK20" s="28" t="s">
        <v>980</v>
      </c>
      <c r="AL20" s="28" t="s">
        <v>977</v>
      </c>
      <c r="AM20" s="28" t="s">
        <v>980</v>
      </c>
      <c r="AN20" s="28"/>
      <c r="AO20" s="28" t="s">
        <v>980</v>
      </c>
      <c r="AP20" s="28" t="s">
        <v>980</v>
      </c>
      <c r="AQ20" s="28" t="s">
        <v>980</v>
      </c>
      <c r="AR20" s="28"/>
      <c r="AS20" s="28" t="s">
        <v>980</v>
      </c>
      <c r="AT20" s="28" t="s">
        <v>980</v>
      </c>
      <c r="AU20" s="28" t="s">
        <v>980</v>
      </c>
      <c r="AV20" s="28" t="s">
        <v>980</v>
      </c>
      <c r="AW20" s="28" t="s">
        <v>980</v>
      </c>
      <c r="AX20" s="28" t="s">
        <v>980</v>
      </c>
      <c r="AY20" s="28" t="s">
        <v>980</v>
      </c>
      <c r="AZ20" s="28" t="s">
        <v>980</v>
      </c>
      <c r="BA20" s="28" t="s">
        <v>980</v>
      </c>
      <c r="BB20" s="28" t="s">
        <v>980</v>
      </c>
      <c r="BC20" s="28" t="s">
        <v>980</v>
      </c>
      <c r="BD20" s="28" t="s">
        <v>980</v>
      </c>
      <c r="BE20" s="28" t="s">
        <v>980</v>
      </c>
      <c r="BF20" s="28" t="s">
        <v>980</v>
      </c>
      <c r="BG20" s="28" t="s">
        <v>980</v>
      </c>
      <c r="BH20" s="28" t="s">
        <v>980</v>
      </c>
      <c r="BI20" s="28" t="s">
        <v>980</v>
      </c>
      <c r="BJ20" s="28" t="s">
        <v>980</v>
      </c>
      <c r="BK20" s="28" t="s">
        <v>980</v>
      </c>
      <c r="BL20" s="28" t="s">
        <v>980</v>
      </c>
      <c r="BM20" s="28" t="s">
        <v>980</v>
      </c>
      <c r="BN20" s="28" t="s">
        <v>980</v>
      </c>
      <c r="BO20" s="28" t="s">
        <v>980</v>
      </c>
      <c r="BP20" s="28" t="s">
        <v>980</v>
      </c>
      <c r="BQ20" s="28" t="s">
        <v>980</v>
      </c>
      <c r="BR20" s="28" t="s">
        <v>980</v>
      </c>
      <c r="BS20" s="28" t="s">
        <v>980</v>
      </c>
      <c r="BT20" s="28" t="s">
        <v>980</v>
      </c>
      <c r="BU20" s="28" t="s">
        <v>980</v>
      </c>
      <c r="BV20" s="28" t="s">
        <v>980</v>
      </c>
      <c r="BW20" s="28" t="s">
        <v>980</v>
      </c>
      <c r="BX20" s="28" t="s">
        <v>980</v>
      </c>
      <c r="BY20" s="28" t="s">
        <v>980</v>
      </c>
      <c r="BZ20" s="28" t="s">
        <v>980</v>
      </c>
      <c r="CA20" s="28" t="s">
        <v>980</v>
      </c>
      <c r="CB20" s="28" t="s">
        <v>980</v>
      </c>
      <c r="CC20" s="28" t="s">
        <v>980</v>
      </c>
      <c r="CD20" s="28" t="s">
        <v>980</v>
      </c>
      <c r="CE20" s="28" t="s">
        <v>980</v>
      </c>
      <c r="CF20" s="28" t="s">
        <v>980</v>
      </c>
      <c r="CG20" s="28" t="s">
        <v>980</v>
      </c>
      <c r="CH20" s="28" t="s">
        <v>980</v>
      </c>
      <c r="CI20" s="28" t="s">
        <v>980</v>
      </c>
      <c r="CJ20" s="28" t="s">
        <v>980</v>
      </c>
      <c r="CK20" s="28" t="s">
        <v>980</v>
      </c>
      <c r="CL20" s="28" t="s">
        <v>980</v>
      </c>
      <c r="CM20" s="28" t="s">
        <v>980</v>
      </c>
      <c r="CN20" s="28" t="s">
        <v>980</v>
      </c>
      <c r="CO20" s="28" t="s">
        <v>980</v>
      </c>
      <c r="CP20" s="28" t="s">
        <v>980</v>
      </c>
      <c r="CQ20" s="28" t="s">
        <v>980</v>
      </c>
      <c r="CR20" s="28"/>
      <c r="CS20" s="28" t="s">
        <v>980</v>
      </c>
      <c r="CT20" s="28" t="s">
        <v>980</v>
      </c>
      <c r="CU20" s="28" t="s">
        <v>977</v>
      </c>
      <c r="CV20" s="28" t="s">
        <v>980</v>
      </c>
      <c r="CW20" s="28"/>
      <c r="CX20" s="28" t="s">
        <v>980</v>
      </c>
      <c r="CY20" s="28" t="s">
        <v>980</v>
      </c>
      <c r="CZ20" s="28" t="s">
        <v>980</v>
      </c>
      <c r="DA20" s="28" t="s">
        <v>980</v>
      </c>
      <c r="DB20" s="28" t="s">
        <v>980</v>
      </c>
      <c r="DC20" s="28" t="s">
        <v>980</v>
      </c>
      <c r="DD20" s="28" t="s">
        <v>980</v>
      </c>
      <c r="DE20" s="28"/>
      <c r="DF20" s="12">
        <v>19</v>
      </c>
      <c r="DH20" s="97">
        <v>18</v>
      </c>
      <c r="DI20" s="12" t="s">
        <v>1294</v>
      </c>
      <c r="DJ20" s="12">
        <v>-20</v>
      </c>
      <c r="DK20" s="12">
        <v>-110</v>
      </c>
      <c r="DL20" s="12">
        <v>10</v>
      </c>
      <c r="DM20" s="12">
        <v>20</v>
      </c>
      <c r="DN20" s="98">
        <v>4</v>
      </c>
      <c r="DQ20" s="35">
        <v>17</v>
      </c>
      <c r="DR20" s="21">
        <v>27</v>
      </c>
      <c r="DS20" s="21">
        <v>44</v>
      </c>
      <c r="DT20" s="21">
        <v>17</v>
      </c>
      <c r="DU20" s="21">
        <v>71</v>
      </c>
      <c r="DV20" s="31">
        <f t="shared" si="3"/>
        <v>95</v>
      </c>
      <c r="DW20" s="30">
        <f t="shared" si="6"/>
        <v>95</v>
      </c>
      <c r="DX20" s="36">
        <v>17</v>
      </c>
      <c r="DY20" s="23">
        <v>71</v>
      </c>
      <c r="DZ20" s="12">
        <v>18</v>
      </c>
      <c r="EA20" s="12">
        <f t="shared" si="35"/>
        <v>154</v>
      </c>
      <c r="EB20" s="12">
        <f t="shared" si="36"/>
        <v>128</v>
      </c>
      <c r="EC20" s="12">
        <f t="shared" si="37"/>
        <v>118</v>
      </c>
      <c r="ED20" s="12">
        <f t="shared" si="38"/>
        <v>110</v>
      </c>
      <c r="EE20" s="12">
        <f t="shared" si="39"/>
        <v>110</v>
      </c>
      <c r="EF20" s="12">
        <f t="shared" si="40"/>
        <v>110</v>
      </c>
      <c r="EG20" s="12">
        <f t="shared" si="41"/>
        <v>110</v>
      </c>
      <c r="EH20" s="12">
        <f t="shared" si="42"/>
        <v>102</v>
      </c>
      <c r="EI20" s="12">
        <f t="shared" si="43"/>
        <v>102</v>
      </c>
      <c r="EJ20" s="12">
        <f t="shared" si="44"/>
        <v>94</v>
      </c>
      <c r="EK20" s="12">
        <f t="shared" si="45"/>
        <v>100</v>
      </c>
      <c r="EL20" s="12">
        <f t="shared" si="46"/>
        <v>100</v>
      </c>
      <c r="EM20" s="12">
        <f t="shared" si="47"/>
        <v>100</v>
      </c>
      <c r="EN20" s="12">
        <f t="shared" si="48"/>
        <v>92</v>
      </c>
      <c r="EO20" s="12">
        <f t="shared" si="49"/>
        <v>92</v>
      </c>
      <c r="EP20" s="12">
        <f t="shared" si="50"/>
        <v>84</v>
      </c>
      <c r="EQ20" s="12">
        <f t="shared" si="51"/>
        <v>84</v>
      </c>
      <c r="ER20" s="12">
        <f t="shared" si="52"/>
        <v>82</v>
      </c>
      <c r="ES20" s="12">
        <f t="shared" si="53"/>
        <v>74</v>
      </c>
      <c r="ET20" s="12">
        <f t="shared" si="54"/>
        <v>74</v>
      </c>
      <c r="EU20" s="12">
        <f t="shared" si="55"/>
        <v>64</v>
      </c>
      <c r="EV20" s="12">
        <f t="shared" si="56"/>
        <v>64</v>
      </c>
      <c r="EW20" s="12">
        <f t="shared" si="57"/>
        <v>46</v>
      </c>
      <c r="EX20" s="12">
        <f t="shared" si="58"/>
        <v>46</v>
      </c>
      <c r="EY20" s="12">
        <f t="shared" si="59"/>
        <v>28</v>
      </c>
      <c r="EZ20" s="12">
        <v>20</v>
      </c>
      <c r="FD20" s="12">
        <f>Skills!K337</f>
        <v>2.9901900000000001</v>
      </c>
      <c r="FE20" s="12" t="str">
        <f>Skills!B337</f>
        <v>Thrown</v>
      </c>
      <c r="FH20" s="12">
        <v>420000</v>
      </c>
      <c r="FI20" s="12">
        <v>18</v>
      </c>
      <c r="FJ20" s="12">
        <v>420000</v>
      </c>
    </row>
    <row r="21" spans="1:166" ht="13.35" customHeight="1" thickBot="1" x14ac:dyDescent="0.25">
      <c r="A21" s="21">
        <f t="shared" si="1"/>
        <v>20</v>
      </c>
      <c r="B21" s="22">
        <f t="shared" si="34"/>
        <v>-3</v>
      </c>
      <c r="C21" s="21">
        <f t="shared" si="2"/>
        <v>20</v>
      </c>
      <c r="E21" s="27" t="s">
        <v>550</v>
      </c>
      <c r="F21" s="28" t="s">
        <v>983</v>
      </c>
      <c r="G21" s="28" t="s">
        <v>985</v>
      </c>
      <c r="H21" s="28" t="s">
        <v>986</v>
      </c>
      <c r="I21" s="28" t="s">
        <v>983</v>
      </c>
      <c r="J21" s="28" t="s">
        <v>990</v>
      </c>
      <c r="K21" s="28" t="s">
        <v>975</v>
      </c>
      <c r="L21" s="28" t="s">
        <v>975</v>
      </c>
      <c r="M21" s="28" t="s">
        <v>973</v>
      </c>
      <c r="N21" s="28" t="s">
        <v>972</v>
      </c>
      <c r="O21" s="28" t="s">
        <v>973</v>
      </c>
      <c r="P21" s="28" t="s">
        <v>972</v>
      </c>
      <c r="Q21" s="28" t="s">
        <v>972</v>
      </c>
      <c r="R21" s="28" t="s">
        <v>972</v>
      </c>
      <c r="S21" s="28" t="s">
        <v>972</v>
      </c>
      <c r="T21" s="28" t="s">
        <v>976</v>
      </c>
      <c r="U21" s="28" t="s">
        <v>976</v>
      </c>
      <c r="V21" s="28" t="s">
        <v>982</v>
      </c>
      <c r="W21" s="28" t="s">
        <v>976</v>
      </c>
      <c r="X21" s="28" t="s">
        <v>975</v>
      </c>
      <c r="Y21" s="28" t="s">
        <v>982</v>
      </c>
      <c r="Z21" s="28"/>
      <c r="AA21" s="28" t="s">
        <v>975</v>
      </c>
      <c r="AB21" s="28" t="s">
        <v>975</v>
      </c>
      <c r="AC21" s="28" t="s">
        <v>991</v>
      </c>
      <c r="AD21" s="28" t="s">
        <v>973</v>
      </c>
      <c r="AE21" s="28"/>
      <c r="AF21" s="28" t="s">
        <v>980</v>
      </c>
      <c r="AG21" s="28" t="s">
        <v>975</v>
      </c>
      <c r="AH21" s="28" t="s">
        <v>976</v>
      </c>
      <c r="AI21" s="28"/>
      <c r="AJ21" s="28" t="s">
        <v>988</v>
      </c>
      <c r="AK21" s="28" t="s">
        <v>972</v>
      </c>
      <c r="AL21" s="28" t="s">
        <v>974</v>
      </c>
      <c r="AM21" s="28" t="s">
        <v>972</v>
      </c>
      <c r="AN21" s="28"/>
      <c r="AO21" s="28" t="s">
        <v>973</v>
      </c>
      <c r="AP21" s="28" t="s">
        <v>972</v>
      </c>
      <c r="AQ21" s="28" t="s">
        <v>982</v>
      </c>
      <c r="AR21" s="28"/>
      <c r="AS21" s="28" t="s">
        <v>973</v>
      </c>
      <c r="AT21" s="28" t="s">
        <v>973</v>
      </c>
      <c r="AU21" s="28" t="s">
        <v>973</v>
      </c>
      <c r="AV21" s="28" t="s">
        <v>973</v>
      </c>
      <c r="AW21" s="28" t="s">
        <v>973</v>
      </c>
      <c r="AX21" s="28" t="s">
        <v>973</v>
      </c>
      <c r="AY21" s="28" t="s">
        <v>973</v>
      </c>
      <c r="AZ21" s="28" t="s">
        <v>973</v>
      </c>
      <c r="BA21" s="28" t="s">
        <v>973</v>
      </c>
      <c r="BB21" s="28" t="s">
        <v>973</v>
      </c>
      <c r="BC21" s="28" t="s">
        <v>973</v>
      </c>
      <c r="BD21" s="28" t="s">
        <v>973</v>
      </c>
      <c r="BE21" s="28" t="s">
        <v>973</v>
      </c>
      <c r="BF21" s="28" t="s">
        <v>973</v>
      </c>
      <c r="BG21" s="28" t="s">
        <v>973</v>
      </c>
      <c r="BH21" s="28" t="s">
        <v>973</v>
      </c>
      <c r="BI21" s="28" t="s">
        <v>973</v>
      </c>
      <c r="BJ21" s="28" t="s">
        <v>973</v>
      </c>
      <c r="BK21" s="28" t="s">
        <v>973</v>
      </c>
      <c r="BL21" s="28" t="s">
        <v>973</v>
      </c>
      <c r="BM21" s="28" t="s">
        <v>973</v>
      </c>
      <c r="BN21" s="28" t="s">
        <v>973</v>
      </c>
      <c r="BO21" s="28" t="s">
        <v>973</v>
      </c>
      <c r="BP21" s="28" t="s">
        <v>973</v>
      </c>
      <c r="BQ21" s="28" t="s">
        <v>973</v>
      </c>
      <c r="BR21" s="28" t="s">
        <v>973</v>
      </c>
      <c r="BS21" s="28" t="s">
        <v>973</v>
      </c>
      <c r="BT21" s="28" t="s">
        <v>973</v>
      </c>
      <c r="BU21" s="28" t="s">
        <v>973</v>
      </c>
      <c r="BV21" s="28" t="s">
        <v>973</v>
      </c>
      <c r="BW21" s="28" t="s">
        <v>973</v>
      </c>
      <c r="BX21" s="28" t="s">
        <v>973</v>
      </c>
      <c r="BY21" s="28" t="s">
        <v>973</v>
      </c>
      <c r="BZ21" s="28" t="s">
        <v>973</v>
      </c>
      <c r="CA21" s="28" t="s">
        <v>973</v>
      </c>
      <c r="CB21" s="28" t="s">
        <v>973</v>
      </c>
      <c r="CC21" s="28" t="s">
        <v>973</v>
      </c>
      <c r="CD21" s="28" t="s">
        <v>973</v>
      </c>
      <c r="CE21" s="28" t="s">
        <v>973</v>
      </c>
      <c r="CF21" s="28" t="s">
        <v>973</v>
      </c>
      <c r="CG21" s="28" t="s">
        <v>973</v>
      </c>
      <c r="CH21" s="28" t="s">
        <v>973</v>
      </c>
      <c r="CI21" s="28" t="s">
        <v>973</v>
      </c>
      <c r="CJ21" s="28" t="s">
        <v>973</v>
      </c>
      <c r="CK21" s="28" t="s">
        <v>973</v>
      </c>
      <c r="CL21" s="28" t="s">
        <v>973</v>
      </c>
      <c r="CM21" s="28" t="s">
        <v>973</v>
      </c>
      <c r="CN21" s="28" t="s">
        <v>973</v>
      </c>
      <c r="CO21" s="28" t="s">
        <v>973</v>
      </c>
      <c r="CP21" s="28" t="s">
        <v>973</v>
      </c>
      <c r="CQ21" s="28" t="s">
        <v>973</v>
      </c>
      <c r="CR21" s="28"/>
      <c r="CS21" s="28" t="s">
        <v>983</v>
      </c>
      <c r="CT21" s="28" t="s">
        <v>986</v>
      </c>
      <c r="CU21" s="28" t="s">
        <v>972</v>
      </c>
      <c r="CV21" s="28" t="s">
        <v>986</v>
      </c>
      <c r="CW21" s="28"/>
      <c r="CX21" s="28" t="s">
        <v>982</v>
      </c>
      <c r="CY21" s="28" t="s">
        <v>973</v>
      </c>
      <c r="CZ21" s="28" t="s">
        <v>972</v>
      </c>
      <c r="DA21" s="28" t="s">
        <v>983</v>
      </c>
      <c r="DB21" s="28" t="s">
        <v>975</v>
      </c>
      <c r="DC21" s="28" t="s">
        <v>973</v>
      </c>
      <c r="DD21" s="28" t="s">
        <v>973</v>
      </c>
      <c r="DE21" s="28"/>
      <c r="DF21" s="12">
        <v>20</v>
      </c>
      <c r="DH21" s="97">
        <v>19</v>
      </c>
      <c r="DI21" s="12" t="s">
        <v>1297</v>
      </c>
      <c r="DJ21" s="12">
        <v>-35</v>
      </c>
      <c r="DK21" s="12">
        <v>-150</v>
      </c>
      <c r="DL21" s="12">
        <v>30</v>
      </c>
      <c r="DM21" s="12">
        <v>30</v>
      </c>
      <c r="DN21" s="98">
        <v>4</v>
      </c>
      <c r="DQ21" s="35">
        <v>18</v>
      </c>
      <c r="DR21" s="21">
        <v>28</v>
      </c>
      <c r="DS21" s="21">
        <v>46</v>
      </c>
      <c r="DT21" s="21">
        <v>18</v>
      </c>
      <c r="DU21" s="21">
        <v>74</v>
      </c>
      <c r="DV21" s="31">
        <f t="shared" si="3"/>
        <v>100</v>
      </c>
      <c r="DW21" s="30">
        <f t="shared" si="6"/>
        <v>100</v>
      </c>
      <c r="DX21" s="36">
        <v>18</v>
      </c>
      <c r="DY21" s="23">
        <v>74</v>
      </c>
      <c r="DZ21" s="12">
        <v>19</v>
      </c>
      <c r="EA21" s="12">
        <f t="shared" si="35"/>
        <v>162</v>
      </c>
      <c r="EB21" s="12">
        <f t="shared" si="36"/>
        <v>134</v>
      </c>
      <c r="EC21" s="12">
        <f t="shared" si="37"/>
        <v>124</v>
      </c>
      <c r="ED21" s="12">
        <f t="shared" si="38"/>
        <v>115</v>
      </c>
      <c r="EE21" s="12">
        <f t="shared" si="39"/>
        <v>115</v>
      </c>
      <c r="EF21" s="12">
        <f t="shared" si="40"/>
        <v>115</v>
      </c>
      <c r="EG21" s="12">
        <f t="shared" si="41"/>
        <v>115</v>
      </c>
      <c r="EH21" s="12">
        <f t="shared" si="42"/>
        <v>106</v>
      </c>
      <c r="EI21" s="12">
        <f t="shared" si="43"/>
        <v>106</v>
      </c>
      <c r="EJ21" s="12">
        <f t="shared" si="44"/>
        <v>97</v>
      </c>
      <c r="EK21" s="12">
        <f t="shared" si="45"/>
        <v>105</v>
      </c>
      <c r="EL21" s="12">
        <f t="shared" si="46"/>
        <v>105</v>
      </c>
      <c r="EM21" s="12">
        <f t="shared" si="47"/>
        <v>105</v>
      </c>
      <c r="EN21" s="12">
        <f t="shared" si="48"/>
        <v>96</v>
      </c>
      <c r="EO21" s="12">
        <f t="shared" si="49"/>
        <v>96</v>
      </c>
      <c r="EP21" s="12">
        <f t="shared" si="50"/>
        <v>87</v>
      </c>
      <c r="EQ21" s="12">
        <f t="shared" si="51"/>
        <v>87</v>
      </c>
      <c r="ER21" s="12">
        <f t="shared" si="52"/>
        <v>86</v>
      </c>
      <c r="ES21" s="12">
        <f t="shared" si="53"/>
        <v>77</v>
      </c>
      <c r="ET21" s="12">
        <f t="shared" si="54"/>
        <v>77</v>
      </c>
      <c r="EU21" s="12">
        <f t="shared" si="55"/>
        <v>67</v>
      </c>
      <c r="EV21" s="12">
        <f t="shared" si="56"/>
        <v>67</v>
      </c>
      <c r="EW21" s="12">
        <f t="shared" si="57"/>
        <v>48</v>
      </c>
      <c r="EX21" s="12">
        <f t="shared" si="58"/>
        <v>48</v>
      </c>
      <c r="EY21" s="12">
        <f t="shared" si="59"/>
        <v>29</v>
      </c>
      <c r="EZ21" s="12">
        <v>21</v>
      </c>
      <c r="FD21" s="12">
        <f>Skills!K131</f>
        <v>-6.51</v>
      </c>
      <c r="FE21" s="12" t="str">
        <f>Skills!B131</f>
        <v>Directed Spell (per spell)</v>
      </c>
      <c r="FH21" s="12">
        <v>460000</v>
      </c>
      <c r="FI21" s="12">
        <v>19</v>
      </c>
      <c r="FJ21" s="12">
        <v>460000</v>
      </c>
    </row>
    <row r="22" spans="1:166" ht="13.35" customHeight="1" thickBot="1" x14ac:dyDescent="0.25">
      <c r="A22" s="21">
        <f t="shared" si="1"/>
        <v>21</v>
      </c>
      <c r="B22" s="22">
        <f t="shared" si="34"/>
        <v>-2</v>
      </c>
      <c r="C22" s="21">
        <f t="shared" si="2"/>
        <v>21</v>
      </c>
      <c r="E22" s="27" t="s">
        <v>555</v>
      </c>
      <c r="F22" s="28" t="s">
        <v>987</v>
      </c>
      <c r="G22" s="28" t="s">
        <v>987</v>
      </c>
      <c r="H22" s="28" t="s">
        <v>991</v>
      </c>
      <c r="I22" s="28" t="s">
        <v>991</v>
      </c>
      <c r="J22" s="28" t="s">
        <v>987</v>
      </c>
      <c r="K22" s="28" t="s">
        <v>987</v>
      </c>
      <c r="L22" s="28" t="s">
        <v>987</v>
      </c>
      <c r="M22" s="28" t="s">
        <v>987</v>
      </c>
      <c r="N22" s="28" t="s">
        <v>987</v>
      </c>
      <c r="O22" s="28" t="s">
        <v>987</v>
      </c>
      <c r="P22" s="28" t="s">
        <v>987</v>
      </c>
      <c r="Q22" s="28" t="s">
        <v>987</v>
      </c>
      <c r="R22" s="28" t="s">
        <v>987</v>
      </c>
      <c r="S22" s="28" t="s">
        <v>987</v>
      </c>
      <c r="T22" s="28" t="s">
        <v>987</v>
      </c>
      <c r="U22" s="28" t="s">
        <v>987</v>
      </c>
      <c r="V22" s="28" t="s">
        <v>987</v>
      </c>
      <c r="W22" s="28" t="s">
        <v>987</v>
      </c>
      <c r="X22" s="28" t="s">
        <v>973</v>
      </c>
      <c r="Y22" s="28" t="s">
        <v>987</v>
      </c>
      <c r="Z22" s="28"/>
      <c r="AA22" s="28" t="s">
        <v>982</v>
      </c>
      <c r="AB22" s="28" t="s">
        <v>982</v>
      </c>
      <c r="AC22" s="28" t="s">
        <v>987</v>
      </c>
      <c r="AD22" s="28" t="s">
        <v>987</v>
      </c>
      <c r="AE22" s="28"/>
      <c r="AF22" s="28" t="s">
        <v>987</v>
      </c>
      <c r="AG22" s="28" t="s">
        <v>1027</v>
      </c>
      <c r="AH22" s="28" t="s">
        <v>987</v>
      </c>
      <c r="AI22" s="28"/>
      <c r="AJ22" s="28" t="s">
        <v>988</v>
      </c>
      <c r="AK22" s="28" t="s">
        <v>987</v>
      </c>
      <c r="AL22" s="28" t="s">
        <v>972</v>
      </c>
      <c r="AM22" s="28" t="s">
        <v>991</v>
      </c>
      <c r="AN22" s="28"/>
      <c r="AO22" s="28" t="s">
        <v>1027</v>
      </c>
      <c r="AP22" s="28" t="s">
        <v>987</v>
      </c>
      <c r="AQ22" s="28" t="s">
        <v>987</v>
      </c>
      <c r="AR22" s="28"/>
      <c r="AS22" s="28" t="s">
        <v>972</v>
      </c>
      <c r="AT22" s="28" t="s">
        <v>972</v>
      </c>
      <c r="AU22" s="28" t="s">
        <v>972</v>
      </c>
      <c r="AV22" s="28" t="s">
        <v>972</v>
      </c>
      <c r="AW22" s="28" t="s">
        <v>972</v>
      </c>
      <c r="AX22" s="28" t="s">
        <v>972</v>
      </c>
      <c r="AY22" s="28" t="s">
        <v>972</v>
      </c>
      <c r="AZ22" s="28" t="s">
        <v>972</v>
      </c>
      <c r="BA22" s="28" t="s">
        <v>972</v>
      </c>
      <c r="BB22" s="28" t="s">
        <v>972</v>
      </c>
      <c r="BC22" s="28" t="s">
        <v>972</v>
      </c>
      <c r="BD22" s="28" t="s">
        <v>972</v>
      </c>
      <c r="BE22" s="28" t="s">
        <v>972</v>
      </c>
      <c r="BF22" s="28" t="s">
        <v>972</v>
      </c>
      <c r="BG22" s="28" t="s">
        <v>972</v>
      </c>
      <c r="BH22" s="28" t="s">
        <v>972</v>
      </c>
      <c r="BI22" s="28" t="s">
        <v>972</v>
      </c>
      <c r="BJ22" s="28" t="s">
        <v>972</v>
      </c>
      <c r="BK22" s="28" t="s">
        <v>972</v>
      </c>
      <c r="BL22" s="28" t="s">
        <v>972</v>
      </c>
      <c r="BM22" s="28" t="s">
        <v>972</v>
      </c>
      <c r="BN22" s="28" t="s">
        <v>972</v>
      </c>
      <c r="BO22" s="28" t="s">
        <v>972</v>
      </c>
      <c r="BP22" s="28" t="s">
        <v>972</v>
      </c>
      <c r="BQ22" s="28" t="s">
        <v>972</v>
      </c>
      <c r="BR22" s="28" t="s">
        <v>972</v>
      </c>
      <c r="BS22" s="28" t="s">
        <v>972</v>
      </c>
      <c r="BT22" s="28" t="s">
        <v>972</v>
      </c>
      <c r="BU22" s="28" t="s">
        <v>972</v>
      </c>
      <c r="BV22" s="28" t="s">
        <v>972</v>
      </c>
      <c r="BW22" s="28" t="s">
        <v>972</v>
      </c>
      <c r="BX22" s="28" t="s">
        <v>972</v>
      </c>
      <c r="BY22" s="28" t="s">
        <v>972</v>
      </c>
      <c r="BZ22" s="28" t="s">
        <v>972</v>
      </c>
      <c r="CA22" s="28" t="s">
        <v>972</v>
      </c>
      <c r="CB22" s="28" t="s">
        <v>972</v>
      </c>
      <c r="CC22" s="28" t="s">
        <v>972</v>
      </c>
      <c r="CD22" s="28" t="s">
        <v>972</v>
      </c>
      <c r="CE22" s="28" t="s">
        <v>972</v>
      </c>
      <c r="CF22" s="28" t="s">
        <v>972</v>
      </c>
      <c r="CG22" s="28" t="s">
        <v>972</v>
      </c>
      <c r="CH22" s="28" t="s">
        <v>972</v>
      </c>
      <c r="CI22" s="28" t="s">
        <v>972</v>
      </c>
      <c r="CJ22" s="28" t="s">
        <v>972</v>
      </c>
      <c r="CK22" s="28" t="s">
        <v>972</v>
      </c>
      <c r="CL22" s="28" t="s">
        <v>972</v>
      </c>
      <c r="CM22" s="28" t="s">
        <v>972</v>
      </c>
      <c r="CN22" s="28" t="s">
        <v>972</v>
      </c>
      <c r="CO22" s="28" t="s">
        <v>972</v>
      </c>
      <c r="CP22" s="28" t="s">
        <v>972</v>
      </c>
      <c r="CQ22" s="28" t="s">
        <v>972</v>
      </c>
      <c r="CR22" s="28"/>
      <c r="CS22" s="28" t="s">
        <v>987</v>
      </c>
      <c r="CT22" s="28" t="s">
        <v>987</v>
      </c>
      <c r="CU22" s="28" t="s">
        <v>973</v>
      </c>
      <c r="CV22" s="28" t="s">
        <v>991</v>
      </c>
      <c r="CW22" s="28"/>
      <c r="CX22" s="28" t="s">
        <v>987</v>
      </c>
      <c r="CY22" s="28" t="s">
        <v>987</v>
      </c>
      <c r="CZ22" s="28" t="s">
        <v>987</v>
      </c>
      <c r="DA22" s="28" t="s">
        <v>987</v>
      </c>
      <c r="DB22" s="28" t="s">
        <v>987</v>
      </c>
      <c r="DC22" s="28" t="s">
        <v>987</v>
      </c>
      <c r="DD22" s="28" t="s">
        <v>987</v>
      </c>
      <c r="DE22" s="28"/>
      <c r="DF22" s="12">
        <v>21</v>
      </c>
      <c r="DH22" s="99">
        <v>20</v>
      </c>
      <c r="DI22" s="100" t="s">
        <v>1301</v>
      </c>
      <c r="DJ22" s="100">
        <v>-45</v>
      </c>
      <c r="DK22" s="100">
        <v>-165</v>
      </c>
      <c r="DL22" s="100">
        <v>40</v>
      </c>
      <c r="DM22" s="100">
        <v>40</v>
      </c>
      <c r="DN22" s="101">
        <v>4</v>
      </c>
      <c r="DQ22" s="35">
        <v>19</v>
      </c>
      <c r="DR22" s="21">
        <v>29</v>
      </c>
      <c r="DS22" s="21">
        <v>48</v>
      </c>
      <c r="DT22" s="21">
        <v>19</v>
      </c>
      <c r="DU22" s="21">
        <v>77</v>
      </c>
      <c r="DV22" s="31">
        <f t="shared" si="3"/>
        <v>105</v>
      </c>
      <c r="DW22" s="30">
        <f t="shared" si="6"/>
        <v>105</v>
      </c>
      <c r="DX22" s="36">
        <v>19</v>
      </c>
      <c r="DY22" s="23">
        <v>77</v>
      </c>
      <c r="DZ22" s="20">
        <v>20</v>
      </c>
      <c r="EA22" s="12">
        <f t="shared" si="35"/>
        <v>170</v>
      </c>
      <c r="EB22" s="78">
        <f t="shared" si="36"/>
        <v>140</v>
      </c>
      <c r="EC22" s="78">
        <f t="shared" si="37"/>
        <v>130</v>
      </c>
      <c r="ED22" s="78">
        <f t="shared" si="38"/>
        <v>120</v>
      </c>
      <c r="EE22" s="78">
        <f t="shared" si="39"/>
        <v>120</v>
      </c>
      <c r="EF22" s="78">
        <f t="shared" si="40"/>
        <v>120</v>
      </c>
      <c r="EG22" s="78">
        <f t="shared" si="41"/>
        <v>120</v>
      </c>
      <c r="EH22" s="78">
        <f t="shared" si="42"/>
        <v>110</v>
      </c>
      <c r="EI22" s="78">
        <f t="shared" si="43"/>
        <v>110</v>
      </c>
      <c r="EJ22" s="78">
        <f t="shared" si="44"/>
        <v>100</v>
      </c>
      <c r="EK22" s="78">
        <f t="shared" si="45"/>
        <v>110</v>
      </c>
      <c r="EL22" s="78">
        <f t="shared" si="46"/>
        <v>110</v>
      </c>
      <c r="EM22" s="78">
        <f t="shared" si="47"/>
        <v>110</v>
      </c>
      <c r="EN22" s="78">
        <f t="shared" si="48"/>
        <v>100</v>
      </c>
      <c r="EO22" s="78">
        <f t="shared" si="49"/>
        <v>100</v>
      </c>
      <c r="EP22" s="78">
        <f t="shared" si="50"/>
        <v>90</v>
      </c>
      <c r="EQ22" s="78">
        <f t="shared" si="51"/>
        <v>90</v>
      </c>
      <c r="ER22" s="78">
        <f t="shared" si="52"/>
        <v>90</v>
      </c>
      <c r="ES22" s="78">
        <f t="shared" si="53"/>
        <v>80</v>
      </c>
      <c r="ET22" s="78">
        <f t="shared" si="54"/>
        <v>80</v>
      </c>
      <c r="EU22" s="78">
        <f t="shared" si="55"/>
        <v>70</v>
      </c>
      <c r="EV22" s="78">
        <f t="shared" si="56"/>
        <v>70</v>
      </c>
      <c r="EW22" s="78">
        <f t="shared" si="57"/>
        <v>50</v>
      </c>
      <c r="EX22" s="78">
        <f t="shared" si="58"/>
        <v>50</v>
      </c>
      <c r="EY22" s="78">
        <f t="shared" si="59"/>
        <v>30</v>
      </c>
      <c r="EZ22" s="20">
        <v>22</v>
      </c>
      <c r="FD22" s="12">
        <f>Skills!K132</f>
        <v>-6.51</v>
      </c>
      <c r="FE22" s="12" t="str">
        <f>Skills!B132</f>
        <v>Directed Spell (per spell)</v>
      </c>
      <c r="FH22" s="12">
        <v>500000</v>
      </c>
      <c r="FI22" s="12">
        <v>20</v>
      </c>
      <c r="FJ22" s="12">
        <v>500000</v>
      </c>
    </row>
    <row r="23" spans="1:166" ht="13.35" customHeight="1" thickBot="1" x14ac:dyDescent="0.25">
      <c r="A23" s="21">
        <f t="shared" si="1"/>
        <v>22</v>
      </c>
      <c r="B23" s="22">
        <f t="shared" si="34"/>
        <v>-2</v>
      </c>
      <c r="C23" s="21">
        <f t="shared" si="2"/>
        <v>22</v>
      </c>
      <c r="E23" s="27" t="s">
        <v>560</v>
      </c>
      <c r="F23" s="28" t="s">
        <v>976</v>
      </c>
      <c r="G23" s="28" t="s">
        <v>973</v>
      </c>
      <c r="H23" s="28" t="s">
        <v>972</v>
      </c>
      <c r="I23" s="28" t="s">
        <v>976</v>
      </c>
      <c r="J23" s="28" t="s">
        <v>976</v>
      </c>
      <c r="K23" s="28" t="s">
        <v>976</v>
      </c>
      <c r="L23" s="28" t="s">
        <v>976</v>
      </c>
      <c r="M23" s="28" t="s">
        <v>976</v>
      </c>
      <c r="N23" s="28" t="s">
        <v>976</v>
      </c>
      <c r="O23" s="28" t="s">
        <v>976</v>
      </c>
      <c r="P23" s="28" t="s">
        <v>976</v>
      </c>
      <c r="Q23" s="28" t="s">
        <v>976</v>
      </c>
      <c r="R23" s="28" t="s">
        <v>976</v>
      </c>
      <c r="S23" s="28" t="s">
        <v>976</v>
      </c>
      <c r="T23" s="28" t="s">
        <v>976</v>
      </c>
      <c r="U23" s="28" t="s">
        <v>976</v>
      </c>
      <c r="V23" s="28" t="s">
        <v>976</v>
      </c>
      <c r="W23" s="28" t="s">
        <v>972</v>
      </c>
      <c r="X23" s="28" t="s">
        <v>973</v>
      </c>
      <c r="Y23" s="28" t="s">
        <v>972</v>
      </c>
      <c r="Z23" s="28"/>
      <c r="AA23" s="28" t="s">
        <v>976</v>
      </c>
      <c r="AB23" s="28" t="s">
        <v>976</v>
      </c>
      <c r="AC23" s="28" t="s">
        <v>976</v>
      </c>
      <c r="AD23" s="28" t="s">
        <v>976</v>
      </c>
      <c r="AE23" s="28"/>
      <c r="AF23" s="28" t="s">
        <v>976</v>
      </c>
      <c r="AG23" s="28" t="s">
        <v>976</v>
      </c>
      <c r="AH23" s="28" t="s">
        <v>976</v>
      </c>
      <c r="AI23" s="28"/>
      <c r="AJ23" s="28" t="s">
        <v>976</v>
      </c>
      <c r="AK23" s="28" t="s">
        <v>991</v>
      </c>
      <c r="AL23" s="28" t="s">
        <v>973</v>
      </c>
      <c r="AM23" s="28" t="s">
        <v>976</v>
      </c>
      <c r="AN23" s="28"/>
      <c r="AO23" s="28" t="s">
        <v>976</v>
      </c>
      <c r="AP23" s="28" t="s">
        <v>976</v>
      </c>
      <c r="AQ23" s="28" t="s">
        <v>976</v>
      </c>
      <c r="AR23" s="28"/>
      <c r="AS23" s="28" t="s">
        <v>976</v>
      </c>
      <c r="AT23" s="28" t="s">
        <v>976</v>
      </c>
      <c r="AU23" s="28" t="s">
        <v>976</v>
      </c>
      <c r="AV23" s="28" t="s">
        <v>976</v>
      </c>
      <c r="AW23" s="28" t="s">
        <v>976</v>
      </c>
      <c r="AX23" s="28" t="s">
        <v>976</v>
      </c>
      <c r="AY23" s="28" t="s">
        <v>976</v>
      </c>
      <c r="AZ23" s="28" t="s">
        <v>976</v>
      </c>
      <c r="BA23" s="28" t="s">
        <v>976</v>
      </c>
      <c r="BB23" s="28" t="s">
        <v>976</v>
      </c>
      <c r="BC23" s="28" t="s">
        <v>976</v>
      </c>
      <c r="BD23" s="28" t="s">
        <v>976</v>
      </c>
      <c r="BE23" s="28" t="s">
        <v>976</v>
      </c>
      <c r="BF23" s="28" t="s">
        <v>976</v>
      </c>
      <c r="BG23" s="28" t="s">
        <v>976</v>
      </c>
      <c r="BH23" s="28" t="s">
        <v>976</v>
      </c>
      <c r="BI23" s="28" t="s">
        <v>976</v>
      </c>
      <c r="BJ23" s="28" t="s">
        <v>976</v>
      </c>
      <c r="BK23" s="28" t="s">
        <v>976</v>
      </c>
      <c r="BL23" s="28" t="s">
        <v>976</v>
      </c>
      <c r="BM23" s="28" t="s">
        <v>976</v>
      </c>
      <c r="BN23" s="28" t="s">
        <v>976</v>
      </c>
      <c r="BO23" s="28" t="s">
        <v>976</v>
      </c>
      <c r="BP23" s="28" t="s">
        <v>976</v>
      </c>
      <c r="BQ23" s="28" t="s">
        <v>976</v>
      </c>
      <c r="BR23" s="28" t="s">
        <v>976</v>
      </c>
      <c r="BS23" s="28" t="s">
        <v>976</v>
      </c>
      <c r="BT23" s="28" t="s">
        <v>976</v>
      </c>
      <c r="BU23" s="28" t="s">
        <v>976</v>
      </c>
      <c r="BV23" s="28" t="s">
        <v>976</v>
      </c>
      <c r="BW23" s="28" t="s">
        <v>976</v>
      </c>
      <c r="BX23" s="28" t="s">
        <v>976</v>
      </c>
      <c r="BY23" s="28" t="s">
        <v>976</v>
      </c>
      <c r="BZ23" s="28" t="s">
        <v>976</v>
      </c>
      <c r="CA23" s="28" t="s">
        <v>976</v>
      </c>
      <c r="CB23" s="28" t="s">
        <v>976</v>
      </c>
      <c r="CC23" s="28" t="s">
        <v>976</v>
      </c>
      <c r="CD23" s="28" t="s">
        <v>976</v>
      </c>
      <c r="CE23" s="28" t="s">
        <v>976</v>
      </c>
      <c r="CF23" s="28" t="s">
        <v>976</v>
      </c>
      <c r="CG23" s="28" t="s">
        <v>976</v>
      </c>
      <c r="CH23" s="28" t="s">
        <v>976</v>
      </c>
      <c r="CI23" s="28" t="s">
        <v>976</v>
      </c>
      <c r="CJ23" s="28" t="s">
        <v>976</v>
      </c>
      <c r="CK23" s="28" t="s">
        <v>976</v>
      </c>
      <c r="CL23" s="28" t="s">
        <v>976</v>
      </c>
      <c r="CM23" s="28" t="s">
        <v>976</v>
      </c>
      <c r="CN23" s="28" t="s">
        <v>976</v>
      </c>
      <c r="CO23" s="28" t="s">
        <v>976</v>
      </c>
      <c r="CP23" s="28" t="s">
        <v>976</v>
      </c>
      <c r="CQ23" s="28" t="s">
        <v>976</v>
      </c>
      <c r="CR23" s="28"/>
      <c r="CS23" s="28" t="s">
        <v>976</v>
      </c>
      <c r="CT23" s="28" t="s">
        <v>972</v>
      </c>
      <c r="CU23" s="28" t="s">
        <v>975</v>
      </c>
      <c r="CV23" s="28" t="s">
        <v>972</v>
      </c>
      <c r="CW23" s="28"/>
      <c r="CX23" s="28" t="s">
        <v>976</v>
      </c>
      <c r="CY23" s="28" t="s">
        <v>976</v>
      </c>
      <c r="CZ23" s="28" t="s">
        <v>976</v>
      </c>
      <c r="DA23" s="28" t="s">
        <v>976</v>
      </c>
      <c r="DB23" s="28" t="s">
        <v>976</v>
      </c>
      <c r="DC23" s="28" t="s">
        <v>976</v>
      </c>
      <c r="DD23" s="28" t="s">
        <v>976</v>
      </c>
      <c r="DE23" s="28"/>
      <c r="DF23" s="12">
        <v>22</v>
      </c>
      <c r="DQ23" s="35">
        <v>20</v>
      </c>
      <c r="DR23" s="21">
        <v>30</v>
      </c>
      <c r="DS23" s="21">
        <v>50</v>
      </c>
      <c r="DT23" s="21">
        <v>20</v>
      </c>
      <c r="DU23" s="21">
        <v>80</v>
      </c>
      <c r="DV23" s="31">
        <f t="shared" si="3"/>
        <v>110</v>
      </c>
      <c r="DW23" s="30">
        <f t="shared" si="6"/>
        <v>110</v>
      </c>
      <c r="DX23" s="36">
        <v>20</v>
      </c>
      <c r="DY23" s="23">
        <v>80</v>
      </c>
      <c r="DZ23" s="12">
        <v>21</v>
      </c>
      <c r="EA23" s="12">
        <f>EA22+5</f>
        <v>175</v>
      </c>
      <c r="EB23" s="12">
        <f>EB22+5</f>
        <v>145</v>
      </c>
      <c r="EC23" s="12">
        <f>EC22+5</f>
        <v>135</v>
      </c>
      <c r="ED23" s="12">
        <f>ED22+4</f>
        <v>124</v>
      </c>
      <c r="EE23" s="12">
        <f>EE22+3</f>
        <v>123</v>
      </c>
      <c r="EF23" s="12">
        <f>EF22+3</f>
        <v>123</v>
      </c>
      <c r="EG23" s="12">
        <f>EG22+2</f>
        <v>122</v>
      </c>
      <c r="EH23" s="12">
        <f>EH22+3</f>
        <v>113</v>
      </c>
      <c r="EI23" s="12">
        <f>EI22+2</f>
        <v>112</v>
      </c>
      <c r="EJ23" s="12">
        <f>EJ22+2</f>
        <v>102</v>
      </c>
      <c r="EK23" s="12">
        <f>EK22+4</f>
        <v>114</v>
      </c>
      <c r="EL23" s="12">
        <f>EL22+3</f>
        <v>113</v>
      </c>
      <c r="EM23" s="12">
        <f>EM22+2</f>
        <v>112</v>
      </c>
      <c r="EN23" s="12">
        <f>EN22+3</f>
        <v>103</v>
      </c>
      <c r="EO23" s="12">
        <f>EO22+2</f>
        <v>102</v>
      </c>
      <c r="EP23" s="12">
        <f>EP22+2</f>
        <v>92</v>
      </c>
      <c r="EQ23" s="12">
        <f>EQ22+1</f>
        <v>91</v>
      </c>
      <c r="ER23" s="12">
        <f>ER22+3</f>
        <v>93</v>
      </c>
      <c r="ES23" s="12">
        <f>ES22+2</f>
        <v>82</v>
      </c>
      <c r="ET23" s="12">
        <f>ET22+1</f>
        <v>81</v>
      </c>
      <c r="EU23" s="12">
        <f>EU22+2</f>
        <v>72</v>
      </c>
      <c r="EV23" s="12">
        <f>EV22+2</f>
        <v>72</v>
      </c>
      <c r="EW23" s="12">
        <f>EW22+2</f>
        <v>52</v>
      </c>
      <c r="EX23" s="12">
        <f>EX22+1</f>
        <v>51</v>
      </c>
      <c r="EY23" s="12">
        <f>EY22+1</f>
        <v>31</v>
      </c>
      <c r="EZ23" s="12">
        <v>23</v>
      </c>
      <c r="FD23" s="12">
        <f>Skills!K133</f>
        <v>-6.51</v>
      </c>
      <c r="FE23" s="12" t="str">
        <f>Skills!B133</f>
        <v>Directed Spell (per spell)</v>
      </c>
      <c r="FH23" s="12">
        <v>550000</v>
      </c>
      <c r="FI23" s="12">
        <v>21</v>
      </c>
      <c r="FJ23" s="12">
        <v>550000</v>
      </c>
    </row>
    <row r="24" spans="1:166" ht="13.35" customHeight="1" x14ac:dyDescent="0.2">
      <c r="A24" s="21">
        <f t="shared" si="1"/>
        <v>23</v>
      </c>
      <c r="B24" s="22">
        <f t="shared" si="34"/>
        <v>-2</v>
      </c>
      <c r="C24" s="21">
        <f t="shared" si="2"/>
        <v>23</v>
      </c>
      <c r="E24" s="27" t="s">
        <v>567</v>
      </c>
      <c r="F24" s="28" t="s">
        <v>1027</v>
      </c>
      <c r="G24" s="28" t="s">
        <v>987</v>
      </c>
      <c r="H24" s="28" t="s">
        <v>987</v>
      </c>
      <c r="I24" s="28" t="s">
        <v>980</v>
      </c>
      <c r="J24" s="28" t="s">
        <v>990</v>
      </c>
      <c r="K24" s="28" t="s">
        <v>968</v>
      </c>
      <c r="L24" s="28" t="s">
        <v>968</v>
      </c>
      <c r="M24" s="28" t="s">
        <v>983</v>
      </c>
      <c r="N24" s="28" t="s">
        <v>983</v>
      </c>
      <c r="O24" s="28" t="s">
        <v>990</v>
      </c>
      <c r="P24" s="28" t="s">
        <v>990</v>
      </c>
      <c r="Q24" s="28" t="s">
        <v>983</v>
      </c>
      <c r="R24" s="28" t="s">
        <v>983</v>
      </c>
      <c r="S24" s="28" t="s">
        <v>968</v>
      </c>
      <c r="T24" s="28" t="s">
        <v>986</v>
      </c>
      <c r="U24" s="28" t="s">
        <v>983</v>
      </c>
      <c r="V24" s="28" t="s">
        <v>972</v>
      </c>
      <c r="W24" s="28" t="s">
        <v>986</v>
      </c>
      <c r="X24" s="28" t="s">
        <v>990</v>
      </c>
      <c r="Y24" s="28" t="s">
        <v>990</v>
      </c>
      <c r="Z24" s="28"/>
      <c r="AA24" s="28" t="s">
        <v>968</v>
      </c>
      <c r="AB24" s="28" t="s">
        <v>968</v>
      </c>
      <c r="AC24" s="28" t="s">
        <v>985</v>
      </c>
      <c r="AD24" s="28" t="s">
        <v>990</v>
      </c>
      <c r="AE24" s="28"/>
      <c r="AF24" s="28" t="s">
        <v>968</v>
      </c>
      <c r="AG24" s="28" t="s">
        <v>968</v>
      </c>
      <c r="AH24" s="28" t="s">
        <v>986</v>
      </c>
      <c r="AI24" s="28"/>
      <c r="AJ24" s="28" t="s">
        <v>988</v>
      </c>
      <c r="AK24" s="28" t="s">
        <v>983</v>
      </c>
      <c r="AL24" s="28" t="s">
        <v>990</v>
      </c>
      <c r="AM24" s="28" t="s">
        <v>983</v>
      </c>
      <c r="AN24" s="28"/>
      <c r="AO24" s="28" t="s">
        <v>968</v>
      </c>
      <c r="AP24" s="28" t="s">
        <v>983</v>
      </c>
      <c r="AQ24" s="28" t="s">
        <v>985</v>
      </c>
      <c r="AR24" s="28"/>
      <c r="AS24" s="28" t="s">
        <v>968</v>
      </c>
      <c r="AT24" s="28" t="s">
        <v>968</v>
      </c>
      <c r="AU24" s="28" t="s">
        <v>968</v>
      </c>
      <c r="AV24" s="28" t="s">
        <v>968</v>
      </c>
      <c r="AW24" s="28" t="s">
        <v>968</v>
      </c>
      <c r="AX24" s="28" t="s">
        <v>968</v>
      </c>
      <c r="AY24" s="28" t="s">
        <v>968</v>
      </c>
      <c r="AZ24" s="28" t="s">
        <v>968</v>
      </c>
      <c r="BA24" s="28" t="s">
        <v>968</v>
      </c>
      <c r="BB24" s="28" t="s">
        <v>968</v>
      </c>
      <c r="BC24" s="28" t="s">
        <v>968</v>
      </c>
      <c r="BD24" s="28" t="s">
        <v>968</v>
      </c>
      <c r="BE24" s="28" t="s">
        <v>968</v>
      </c>
      <c r="BF24" s="28" t="s">
        <v>968</v>
      </c>
      <c r="BG24" s="28" t="s">
        <v>968</v>
      </c>
      <c r="BH24" s="28" t="s">
        <v>968</v>
      </c>
      <c r="BI24" s="28" t="s">
        <v>968</v>
      </c>
      <c r="BJ24" s="28" t="s">
        <v>968</v>
      </c>
      <c r="BK24" s="28" t="s">
        <v>968</v>
      </c>
      <c r="BL24" s="28" t="s">
        <v>968</v>
      </c>
      <c r="BM24" s="28" t="s">
        <v>968</v>
      </c>
      <c r="BN24" s="28" t="s">
        <v>968</v>
      </c>
      <c r="BO24" s="28" t="s">
        <v>968</v>
      </c>
      <c r="BP24" s="28" t="s">
        <v>968</v>
      </c>
      <c r="BQ24" s="28" t="s">
        <v>968</v>
      </c>
      <c r="BR24" s="28" t="s">
        <v>968</v>
      </c>
      <c r="BS24" s="28" t="s">
        <v>968</v>
      </c>
      <c r="BT24" s="28" t="s">
        <v>968</v>
      </c>
      <c r="BU24" s="28" t="s">
        <v>968</v>
      </c>
      <c r="BV24" s="28" t="s">
        <v>968</v>
      </c>
      <c r="BW24" s="28" t="s">
        <v>968</v>
      </c>
      <c r="BX24" s="28" t="s">
        <v>968</v>
      </c>
      <c r="BY24" s="28" t="s">
        <v>968</v>
      </c>
      <c r="BZ24" s="28" t="s">
        <v>968</v>
      </c>
      <c r="CA24" s="28" t="s">
        <v>968</v>
      </c>
      <c r="CB24" s="28" t="s">
        <v>968</v>
      </c>
      <c r="CC24" s="28" t="s">
        <v>968</v>
      </c>
      <c r="CD24" s="28" t="s">
        <v>968</v>
      </c>
      <c r="CE24" s="28" t="s">
        <v>968</v>
      </c>
      <c r="CF24" s="28" t="s">
        <v>968</v>
      </c>
      <c r="CG24" s="28" t="s">
        <v>968</v>
      </c>
      <c r="CH24" s="28" t="s">
        <v>968</v>
      </c>
      <c r="CI24" s="28" t="s">
        <v>968</v>
      </c>
      <c r="CJ24" s="28" t="s">
        <v>968</v>
      </c>
      <c r="CK24" s="28" t="s">
        <v>968</v>
      </c>
      <c r="CL24" s="28" t="s">
        <v>968</v>
      </c>
      <c r="CM24" s="28" t="s">
        <v>968</v>
      </c>
      <c r="CN24" s="28" t="s">
        <v>968</v>
      </c>
      <c r="CO24" s="28" t="s">
        <v>968</v>
      </c>
      <c r="CP24" s="28" t="s">
        <v>968</v>
      </c>
      <c r="CQ24" s="28" t="s">
        <v>968</v>
      </c>
      <c r="CR24" s="28"/>
      <c r="CS24" s="28" t="s">
        <v>982</v>
      </c>
      <c r="CT24" s="28" t="s">
        <v>987</v>
      </c>
      <c r="CU24" s="28" t="s">
        <v>1010</v>
      </c>
      <c r="CV24" s="28" t="s">
        <v>976</v>
      </c>
      <c r="CW24" s="28"/>
      <c r="CX24" s="28" t="s">
        <v>983</v>
      </c>
      <c r="CY24" s="28" t="s">
        <v>983</v>
      </c>
      <c r="CZ24" s="28" t="s">
        <v>983</v>
      </c>
      <c r="DA24" s="28" t="s">
        <v>982</v>
      </c>
      <c r="DB24" s="28" t="s">
        <v>968</v>
      </c>
      <c r="DC24" s="28" t="s">
        <v>983</v>
      </c>
      <c r="DD24" s="28" t="s">
        <v>990</v>
      </c>
      <c r="DE24" s="28"/>
      <c r="DF24" s="12">
        <v>23</v>
      </c>
      <c r="DH24" s="12" t="s">
        <v>1308</v>
      </c>
      <c r="DI24" s="12" t="s">
        <v>1309</v>
      </c>
      <c r="DK24" s="12" t="s">
        <v>1308</v>
      </c>
      <c r="DQ24" s="35">
        <v>21</v>
      </c>
      <c r="DR24" s="21">
        <v>31</v>
      </c>
      <c r="DS24" s="21">
        <v>51</v>
      </c>
      <c r="DT24" s="32">
        <v>21</v>
      </c>
      <c r="DU24" s="21">
        <v>82</v>
      </c>
      <c r="DV24" s="31">
        <f t="shared" si="3"/>
        <v>112</v>
      </c>
      <c r="DW24" s="30">
        <f t="shared" si="6"/>
        <v>114</v>
      </c>
      <c r="DX24" s="36">
        <v>21</v>
      </c>
      <c r="DY24" s="23">
        <v>82</v>
      </c>
      <c r="DZ24" s="12">
        <v>22</v>
      </c>
      <c r="EA24" s="12">
        <f t="shared" ref="EA24:EA32" si="60">EA23+5</f>
        <v>180</v>
      </c>
      <c r="EB24" s="12">
        <f t="shared" ref="EB24:EB32" si="61">EB23+5</f>
        <v>150</v>
      </c>
      <c r="EC24" s="12">
        <f t="shared" ref="EC24:EC32" si="62">EC23+5</f>
        <v>140</v>
      </c>
      <c r="ED24" s="12">
        <f t="shared" ref="ED24:ED32" si="63">ED23+4</f>
        <v>128</v>
      </c>
      <c r="EE24" s="12">
        <f t="shared" ref="EE24:EE32" si="64">EE23+3</f>
        <v>126</v>
      </c>
      <c r="EF24" s="12">
        <f t="shared" ref="EF24:EF32" si="65">EF23+3</f>
        <v>126</v>
      </c>
      <c r="EG24" s="12">
        <f t="shared" ref="EG24:EG32" si="66">EG23+2</f>
        <v>124</v>
      </c>
      <c r="EH24" s="12">
        <f t="shared" ref="EH24:EH32" si="67">EH23+3</f>
        <v>116</v>
      </c>
      <c r="EI24" s="12">
        <f t="shared" ref="EI24:EI32" si="68">EI23+2</f>
        <v>114</v>
      </c>
      <c r="EJ24" s="12">
        <f t="shared" ref="EJ24:EJ32" si="69">EJ23+2</f>
        <v>104</v>
      </c>
      <c r="EK24" s="12">
        <f t="shared" ref="EK24:EK32" si="70">EK23+4</f>
        <v>118</v>
      </c>
      <c r="EL24" s="12">
        <f t="shared" ref="EL24:EL32" si="71">EL23+3</f>
        <v>116</v>
      </c>
      <c r="EM24" s="12">
        <f t="shared" ref="EM24:EM32" si="72">EM23+2</f>
        <v>114</v>
      </c>
      <c r="EN24" s="12">
        <f t="shared" ref="EN24:EN32" si="73">EN23+3</f>
        <v>106</v>
      </c>
      <c r="EO24" s="12">
        <f t="shared" ref="EO24:EO32" si="74">EO23+2</f>
        <v>104</v>
      </c>
      <c r="EP24" s="12">
        <f t="shared" ref="EP24:EP32" si="75">EP23+2</f>
        <v>94</v>
      </c>
      <c r="EQ24" s="12">
        <f t="shared" ref="EQ24:EQ32" si="76">EQ23+1</f>
        <v>92</v>
      </c>
      <c r="ER24" s="12">
        <f t="shared" ref="ER24:ER32" si="77">ER23+3</f>
        <v>96</v>
      </c>
      <c r="ES24" s="12">
        <f t="shared" ref="ES24:ES32" si="78">ES23+2</f>
        <v>84</v>
      </c>
      <c r="ET24" s="12">
        <f t="shared" ref="ET24:ET32" si="79">ET23+1</f>
        <v>82</v>
      </c>
      <c r="EU24" s="12">
        <f t="shared" ref="EU24:EU32" si="80">EU23+2</f>
        <v>74</v>
      </c>
      <c r="EV24" s="12">
        <f t="shared" ref="EV24:EV32" si="81">EV23+2</f>
        <v>74</v>
      </c>
      <c r="EW24" s="12">
        <f t="shared" ref="EW24:EW32" si="82">EW23+2</f>
        <v>54</v>
      </c>
      <c r="EX24" s="12">
        <f t="shared" ref="EX24:EX32" si="83">EX23+1</f>
        <v>52</v>
      </c>
      <c r="EY24" s="12">
        <f t="shared" ref="EY24:EY32" si="84">EY23+1</f>
        <v>32</v>
      </c>
      <c r="EZ24" s="12">
        <v>24</v>
      </c>
      <c r="FD24" s="12">
        <f>LARGE($FD$35:$FD$38,1)</f>
        <v>-7.01</v>
      </c>
      <c r="FE24" s="12" t="str">
        <f>VLOOKUP(FD24,$FD$35:$FE$38,2,0)</f>
        <v>Sweeps 2</v>
      </c>
      <c r="FH24" s="12">
        <v>600000</v>
      </c>
      <c r="FI24" s="12">
        <v>22</v>
      </c>
      <c r="FJ24" s="12">
        <v>600000</v>
      </c>
    </row>
    <row r="25" spans="1:166" ht="13.35" customHeight="1" x14ac:dyDescent="0.2">
      <c r="A25" s="21">
        <f t="shared" si="1"/>
        <v>24</v>
      </c>
      <c r="B25" s="22">
        <f t="shared" si="34"/>
        <v>-2</v>
      </c>
      <c r="C25" s="21">
        <f t="shared" si="2"/>
        <v>24</v>
      </c>
      <c r="E25" s="27" t="s">
        <v>574</v>
      </c>
      <c r="F25" s="28" t="s">
        <v>1027</v>
      </c>
      <c r="G25" s="28" t="s">
        <v>987</v>
      </c>
      <c r="H25" s="28" t="s">
        <v>987</v>
      </c>
      <c r="I25" s="28" t="s">
        <v>980</v>
      </c>
      <c r="J25" s="28" t="s">
        <v>990</v>
      </c>
      <c r="K25" s="28" t="s">
        <v>968</v>
      </c>
      <c r="L25" s="28" t="s">
        <v>968</v>
      </c>
      <c r="M25" s="28" t="s">
        <v>983</v>
      </c>
      <c r="N25" s="28" t="s">
        <v>983</v>
      </c>
      <c r="O25" s="28" t="s">
        <v>990</v>
      </c>
      <c r="P25" s="28" t="s">
        <v>990</v>
      </c>
      <c r="Q25" s="28" t="s">
        <v>983</v>
      </c>
      <c r="R25" s="28" t="s">
        <v>983</v>
      </c>
      <c r="S25" s="28" t="s">
        <v>968</v>
      </c>
      <c r="T25" s="28" t="s">
        <v>986</v>
      </c>
      <c r="U25" s="28" t="s">
        <v>983</v>
      </c>
      <c r="V25" s="28" t="s">
        <v>972</v>
      </c>
      <c r="W25" s="28" t="s">
        <v>986</v>
      </c>
      <c r="X25" s="28" t="s">
        <v>990</v>
      </c>
      <c r="Y25" s="28" t="s">
        <v>990</v>
      </c>
      <c r="Z25" s="28"/>
      <c r="AA25" s="28" t="s">
        <v>968</v>
      </c>
      <c r="AB25" s="28" t="s">
        <v>968</v>
      </c>
      <c r="AC25" s="28" t="s">
        <v>985</v>
      </c>
      <c r="AD25" s="28" t="s">
        <v>990</v>
      </c>
      <c r="AE25" s="28"/>
      <c r="AF25" s="28" t="s">
        <v>968</v>
      </c>
      <c r="AG25" s="28" t="s">
        <v>968</v>
      </c>
      <c r="AH25" s="28" t="s">
        <v>986</v>
      </c>
      <c r="AI25" s="28"/>
      <c r="AJ25" s="28" t="s">
        <v>988</v>
      </c>
      <c r="AK25" s="28" t="s">
        <v>983</v>
      </c>
      <c r="AL25" s="28" t="s">
        <v>990</v>
      </c>
      <c r="AM25" s="28" t="s">
        <v>983</v>
      </c>
      <c r="AN25" s="28"/>
      <c r="AO25" s="28" t="s">
        <v>968</v>
      </c>
      <c r="AP25" s="28" t="s">
        <v>983</v>
      </c>
      <c r="AQ25" s="28" t="s">
        <v>985</v>
      </c>
      <c r="AR25" s="28"/>
      <c r="AS25" s="28" t="s">
        <v>968</v>
      </c>
      <c r="AT25" s="28" t="s">
        <v>968</v>
      </c>
      <c r="AU25" s="28" t="s">
        <v>968</v>
      </c>
      <c r="AV25" s="28" t="s">
        <v>968</v>
      </c>
      <c r="AW25" s="28" t="s">
        <v>968</v>
      </c>
      <c r="AX25" s="28" t="s">
        <v>968</v>
      </c>
      <c r="AY25" s="28" t="s">
        <v>968</v>
      </c>
      <c r="AZ25" s="28" t="s">
        <v>968</v>
      </c>
      <c r="BA25" s="28" t="s">
        <v>968</v>
      </c>
      <c r="BB25" s="28" t="s">
        <v>968</v>
      </c>
      <c r="BC25" s="28" t="s">
        <v>968</v>
      </c>
      <c r="BD25" s="28" t="s">
        <v>968</v>
      </c>
      <c r="BE25" s="28" t="s">
        <v>968</v>
      </c>
      <c r="BF25" s="28" t="s">
        <v>968</v>
      </c>
      <c r="BG25" s="28" t="s">
        <v>968</v>
      </c>
      <c r="BH25" s="28" t="s">
        <v>968</v>
      </c>
      <c r="BI25" s="28" t="s">
        <v>968</v>
      </c>
      <c r="BJ25" s="28" t="s">
        <v>968</v>
      </c>
      <c r="BK25" s="28" t="s">
        <v>968</v>
      </c>
      <c r="BL25" s="28" t="s">
        <v>968</v>
      </c>
      <c r="BM25" s="28" t="s">
        <v>968</v>
      </c>
      <c r="BN25" s="28" t="s">
        <v>968</v>
      </c>
      <c r="BO25" s="28" t="s">
        <v>968</v>
      </c>
      <c r="BP25" s="28" t="s">
        <v>968</v>
      </c>
      <c r="BQ25" s="28" t="s">
        <v>968</v>
      </c>
      <c r="BR25" s="28" t="s">
        <v>968</v>
      </c>
      <c r="BS25" s="28" t="s">
        <v>968</v>
      </c>
      <c r="BT25" s="28" t="s">
        <v>968</v>
      </c>
      <c r="BU25" s="28" t="s">
        <v>968</v>
      </c>
      <c r="BV25" s="28" t="s">
        <v>968</v>
      </c>
      <c r="BW25" s="28" t="s">
        <v>968</v>
      </c>
      <c r="BX25" s="28" t="s">
        <v>968</v>
      </c>
      <c r="BY25" s="28" t="s">
        <v>968</v>
      </c>
      <c r="BZ25" s="28" t="s">
        <v>968</v>
      </c>
      <c r="CA25" s="28" t="s">
        <v>968</v>
      </c>
      <c r="CB25" s="28" t="s">
        <v>968</v>
      </c>
      <c r="CC25" s="28" t="s">
        <v>968</v>
      </c>
      <c r="CD25" s="28" t="s">
        <v>968</v>
      </c>
      <c r="CE25" s="28" t="s">
        <v>968</v>
      </c>
      <c r="CF25" s="28" t="s">
        <v>968</v>
      </c>
      <c r="CG25" s="28" t="s">
        <v>968</v>
      </c>
      <c r="CH25" s="28" t="s">
        <v>968</v>
      </c>
      <c r="CI25" s="28" t="s">
        <v>968</v>
      </c>
      <c r="CJ25" s="28" t="s">
        <v>968</v>
      </c>
      <c r="CK25" s="28" t="s">
        <v>968</v>
      </c>
      <c r="CL25" s="28" t="s">
        <v>968</v>
      </c>
      <c r="CM25" s="28" t="s">
        <v>968</v>
      </c>
      <c r="CN25" s="28" t="s">
        <v>968</v>
      </c>
      <c r="CO25" s="28" t="s">
        <v>968</v>
      </c>
      <c r="CP25" s="28" t="s">
        <v>968</v>
      </c>
      <c r="CQ25" s="28" t="s">
        <v>968</v>
      </c>
      <c r="CR25" s="28"/>
      <c r="CS25" s="28" t="s">
        <v>1031</v>
      </c>
      <c r="CT25" s="28" t="s">
        <v>987</v>
      </c>
      <c r="CU25" s="28" t="s">
        <v>1010</v>
      </c>
      <c r="CV25" s="28" t="s">
        <v>976</v>
      </c>
      <c r="CW25" s="28"/>
      <c r="CX25" s="28" t="s">
        <v>983</v>
      </c>
      <c r="CY25" s="28" t="s">
        <v>983</v>
      </c>
      <c r="CZ25" s="28" t="s">
        <v>983</v>
      </c>
      <c r="DA25" s="28" t="s">
        <v>1031</v>
      </c>
      <c r="DB25" s="28" t="s">
        <v>968</v>
      </c>
      <c r="DC25" s="28" t="s">
        <v>983</v>
      </c>
      <c r="DD25" s="28" t="s">
        <v>990</v>
      </c>
      <c r="DE25" s="28"/>
      <c r="DF25" s="12">
        <v>24</v>
      </c>
      <c r="DH25" s="12">
        <v>0</v>
      </c>
      <c r="DI25" s="12">
        <v>0</v>
      </c>
      <c r="DK25" s="12">
        <f>VLOOKUP(Stats!$D$41,$DH$3:$DN$22,7)</f>
        <v>0</v>
      </c>
      <c r="DQ25" s="35">
        <v>22</v>
      </c>
      <c r="DR25" s="21">
        <v>31</v>
      </c>
      <c r="DS25" s="21">
        <v>52</v>
      </c>
      <c r="DT25" s="32">
        <v>21</v>
      </c>
      <c r="DU25" s="21">
        <v>83</v>
      </c>
      <c r="DV25" s="31">
        <f t="shared" si="3"/>
        <v>114</v>
      </c>
      <c r="DW25" s="30">
        <f t="shared" si="6"/>
        <v>118</v>
      </c>
      <c r="DX25" s="36">
        <v>21</v>
      </c>
      <c r="DY25" s="23">
        <v>84</v>
      </c>
      <c r="DZ25" s="12">
        <v>23</v>
      </c>
      <c r="EA25" s="12">
        <f t="shared" si="60"/>
        <v>185</v>
      </c>
      <c r="EB25" s="12">
        <f t="shared" si="61"/>
        <v>155</v>
      </c>
      <c r="EC25" s="12">
        <f t="shared" si="62"/>
        <v>145</v>
      </c>
      <c r="ED25" s="12">
        <f t="shared" si="63"/>
        <v>132</v>
      </c>
      <c r="EE25" s="12">
        <f t="shared" si="64"/>
        <v>129</v>
      </c>
      <c r="EF25" s="12">
        <f t="shared" si="65"/>
        <v>129</v>
      </c>
      <c r="EG25" s="12">
        <f t="shared" si="66"/>
        <v>126</v>
      </c>
      <c r="EH25" s="12">
        <f t="shared" si="67"/>
        <v>119</v>
      </c>
      <c r="EI25" s="12">
        <f t="shared" si="68"/>
        <v>116</v>
      </c>
      <c r="EJ25" s="12">
        <f t="shared" si="69"/>
        <v>106</v>
      </c>
      <c r="EK25" s="12">
        <f t="shared" si="70"/>
        <v>122</v>
      </c>
      <c r="EL25" s="12">
        <f t="shared" si="71"/>
        <v>119</v>
      </c>
      <c r="EM25" s="12">
        <f t="shared" si="72"/>
        <v>116</v>
      </c>
      <c r="EN25" s="12">
        <f t="shared" si="73"/>
        <v>109</v>
      </c>
      <c r="EO25" s="12">
        <f t="shared" si="74"/>
        <v>106</v>
      </c>
      <c r="EP25" s="12">
        <f t="shared" si="75"/>
        <v>96</v>
      </c>
      <c r="EQ25" s="12">
        <f t="shared" si="76"/>
        <v>93</v>
      </c>
      <c r="ER25" s="12">
        <f t="shared" si="77"/>
        <v>99</v>
      </c>
      <c r="ES25" s="12">
        <f t="shared" si="78"/>
        <v>86</v>
      </c>
      <c r="ET25" s="12">
        <f t="shared" si="79"/>
        <v>83</v>
      </c>
      <c r="EU25" s="12">
        <f t="shared" si="80"/>
        <v>76</v>
      </c>
      <c r="EV25" s="12">
        <f t="shared" si="81"/>
        <v>76</v>
      </c>
      <c r="EW25" s="12">
        <f t="shared" si="82"/>
        <v>56</v>
      </c>
      <c r="EX25" s="12">
        <f t="shared" si="83"/>
        <v>53</v>
      </c>
      <c r="EY25" s="12">
        <f t="shared" si="84"/>
        <v>33</v>
      </c>
      <c r="EZ25" s="12">
        <v>25</v>
      </c>
      <c r="FD25" s="12">
        <f>LARGE($FD$35:$FD$38,2)</f>
        <v>-7.01</v>
      </c>
      <c r="FE25" s="12" t="str">
        <f>VLOOKUP(FD25,$FD$35:$FE$38,2,0)</f>
        <v>Sweeps 2</v>
      </c>
      <c r="FH25" s="12">
        <v>650000</v>
      </c>
      <c r="FI25" s="12">
        <v>23</v>
      </c>
      <c r="FJ25" s="12">
        <v>650000</v>
      </c>
    </row>
    <row r="26" spans="1:166" ht="13.35" customHeight="1" x14ac:dyDescent="0.2">
      <c r="A26" s="21">
        <f t="shared" si="1"/>
        <v>25</v>
      </c>
      <c r="B26" s="22">
        <f t="shared" si="34"/>
        <v>-2</v>
      </c>
      <c r="C26" s="21">
        <f t="shared" si="2"/>
        <v>25</v>
      </c>
      <c r="E26" s="27" t="s">
        <v>581</v>
      </c>
      <c r="F26" s="28" t="s">
        <v>975</v>
      </c>
      <c r="G26" s="28" t="s">
        <v>972</v>
      </c>
      <c r="H26" s="28" t="s">
        <v>974</v>
      </c>
      <c r="I26" s="28" t="s">
        <v>976</v>
      </c>
      <c r="J26" s="28" t="s">
        <v>972</v>
      </c>
      <c r="K26" s="28" t="s">
        <v>990</v>
      </c>
      <c r="L26" s="28" t="s">
        <v>990</v>
      </c>
      <c r="M26" s="28" t="s">
        <v>990</v>
      </c>
      <c r="N26" s="28" t="s">
        <v>977</v>
      </c>
      <c r="O26" s="28" t="s">
        <v>990</v>
      </c>
      <c r="P26" s="28" t="s">
        <v>990</v>
      </c>
      <c r="Q26" s="28" t="s">
        <v>990</v>
      </c>
      <c r="R26" s="28" t="s">
        <v>990</v>
      </c>
      <c r="S26" s="28" t="s">
        <v>990</v>
      </c>
      <c r="T26" s="28" t="s">
        <v>974</v>
      </c>
      <c r="U26" s="28" t="s">
        <v>976</v>
      </c>
      <c r="V26" s="28" t="s">
        <v>991</v>
      </c>
      <c r="W26" s="28" t="s">
        <v>976</v>
      </c>
      <c r="X26" s="28" t="s">
        <v>991</v>
      </c>
      <c r="Y26" s="28" t="s">
        <v>991</v>
      </c>
      <c r="Z26" s="28"/>
      <c r="AA26" s="28" t="s">
        <v>990</v>
      </c>
      <c r="AB26" s="28" t="s">
        <v>990</v>
      </c>
      <c r="AC26" s="28" t="s">
        <v>991</v>
      </c>
      <c r="AD26" s="28" t="s">
        <v>976</v>
      </c>
      <c r="AE26" s="28"/>
      <c r="AF26" s="28" t="s">
        <v>990</v>
      </c>
      <c r="AG26" s="28" t="s">
        <v>990</v>
      </c>
      <c r="AH26" s="28" t="s">
        <v>991</v>
      </c>
      <c r="AI26" s="28"/>
      <c r="AJ26" s="28" t="s">
        <v>976</v>
      </c>
      <c r="AK26" s="28" t="s">
        <v>990</v>
      </c>
      <c r="AL26" s="28" t="s">
        <v>990</v>
      </c>
      <c r="AM26" s="28" t="s">
        <v>990</v>
      </c>
      <c r="AN26" s="28"/>
      <c r="AO26" s="28" t="s">
        <v>972</v>
      </c>
      <c r="AP26" s="28" t="s">
        <v>990</v>
      </c>
      <c r="AQ26" s="28" t="s">
        <v>976</v>
      </c>
      <c r="AR26" s="28"/>
      <c r="AS26" s="28" t="s">
        <v>982</v>
      </c>
      <c r="AT26" s="28" t="s">
        <v>982</v>
      </c>
      <c r="AU26" s="28" t="s">
        <v>982</v>
      </c>
      <c r="AV26" s="28" t="s">
        <v>982</v>
      </c>
      <c r="AW26" s="28" t="s">
        <v>982</v>
      </c>
      <c r="AX26" s="28" t="s">
        <v>982</v>
      </c>
      <c r="AY26" s="28" t="s">
        <v>982</v>
      </c>
      <c r="AZ26" s="28" t="s">
        <v>982</v>
      </c>
      <c r="BA26" s="28" t="s">
        <v>982</v>
      </c>
      <c r="BB26" s="28" t="s">
        <v>982</v>
      </c>
      <c r="BC26" s="28" t="s">
        <v>982</v>
      </c>
      <c r="BD26" s="28" t="s">
        <v>982</v>
      </c>
      <c r="BE26" s="28" t="s">
        <v>982</v>
      </c>
      <c r="BF26" s="28" t="s">
        <v>982</v>
      </c>
      <c r="BG26" s="28" t="s">
        <v>982</v>
      </c>
      <c r="BH26" s="28" t="s">
        <v>982</v>
      </c>
      <c r="BI26" s="28" t="s">
        <v>982</v>
      </c>
      <c r="BJ26" s="28" t="s">
        <v>982</v>
      </c>
      <c r="BK26" s="28" t="s">
        <v>982</v>
      </c>
      <c r="BL26" s="28" t="s">
        <v>982</v>
      </c>
      <c r="BM26" s="28" t="s">
        <v>982</v>
      </c>
      <c r="BN26" s="28" t="s">
        <v>982</v>
      </c>
      <c r="BO26" s="28" t="s">
        <v>982</v>
      </c>
      <c r="BP26" s="28" t="s">
        <v>982</v>
      </c>
      <c r="BQ26" s="28" t="s">
        <v>982</v>
      </c>
      <c r="BR26" s="28" t="s">
        <v>982</v>
      </c>
      <c r="BS26" s="28" t="s">
        <v>982</v>
      </c>
      <c r="BT26" s="28" t="s">
        <v>982</v>
      </c>
      <c r="BU26" s="28" t="s">
        <v>982</v>
      </c>
      <c r="BV26" s="28" t="s">
        <v>982</v>
      </c>
      <c r="BW26" s="28" t="s">
        <v>982</v>
      </c>
      <c r="BX26" s="28" t="s">
        <v>982</v>
      </c>
      <c r="BY26" s="28" t="s">
        <v>982</v>
      </c>
      <c r="BZ26" s="28" t="s">
        <v>982</v>
      </c>
      <c r="CA26" s="28" t="s">
        <v>982</v>
      </c>
      <c r="CB26" s="28" t="s">
        <v>982</v>
      </c>
      <c r="CC26" s="28" t="s">
        <v>982</v>
      </c>
      <c r="CD26" s="28" t="s">
        <v>982</v>
      </c>
      <c r="CE26" s="28" t="s">
        <v>982</v>
      </c>
      <c r="CF26" s="28" t="s">
        <v>982</v>
      </c>
      <c r="CG26" s="28" t="s">
        <v>982</v>
      </c>
      <c r="CH26" s="28" t="s">
        <v>982</v>
      </c>
      <c r="CI26" s="28" t="s">
        <v>982</v>
      </c>
      <c r="CJ26" s="28" t="s">
        <v>982</v>
      </c>
      <c r="CK26" s="28" t="s">
        <v>982</v>
      </c>
      <c r="CL26" s="28" t="s">
        <v>982</v>
      </c>
      <c r="CM26" s="28" t="s">
        <v>982</v>
      </c>
      <c r="CN26" s="28" t="s">
        <v>982</v>
      </c>
      <c r="CO26" s="28" t="s">
        <v>982</v>
      </c>
      <c r="CP26" s="28" t="s">
        <v>982</v>
      </c>
      <c r="CQ26" s="28" t="s">
        <v>982</v>
      </c>
      <c r="CR26" s="28"/>
      <c r="CS26" s="28" t="s">
        <v>980</v>
      </c>
      <c r="CT26" s="28" t="s">
        <v>975</v>
      </c>
      <c r="CU26" s="28" t="s">
        <v>976</v>
      </c>
      <c r="CV26" s="28" t="s">
        <v>973</v>
      </c>
      <c r="CW26" s="28"/>
      <c r="CX26" s="28" t="s">
        <v>972</v>
      </c>
      <c r="CY26" s="28" t="s">
        <v>990</v>
      </c>
      <c r="CZ26" s="28" t="s">
        <v>977</v>
      </c>
      <c r="DA26" s="28" t="s">
        <v>980</v>
      </c>
      <c r="DB26" s="28" t="s">
        <v>990</v>
      </c>
      <c r="DC26" s="28" t="s">
        <v>990</v>
      </c>
      <c r="DD26" s="28" t="s">
        <v>990</v>
      </c>
      <c r="DE26" s="28"/>
      <c r="DF26" s="12">
        <v>25</v>
      </c>
      <c r="DH26" s="12">
        <v>1</v>
      </c>
      <c r="DI26" s="12">
        <f>Skills!$K$6</f>
        <v>-2.0099999999999998</v>
      </c>
      <c r="DQ26" s="35">
        <v>23</v>
      </c>
      <c r="DR26" s="21">
        <v>32</v>
      </c>
      <c r="DS26" s="21">
        <v>53</v>
      </c>
      <c r="DT26" s="32">
        <v>22</v>
      </c>
      <c r="DU26" s="21">
        <v>85</v>
      </c>
      <c r="DV26" s="31">
        <f t="shared" si="3"/>
        <v>116</v>
      </c>
      <c r="DW26" s="30">
        <f t="shared" si="6"/>
        <v>122</v>
      </c>
      <c r="DX26" s="36">
        <v>22</v>
      </c>
      <c r="DY26" s="23">
        <v>86</v>
      </c>
      <c r="DZ26" s="12">
        <v>24</v>
      </c>
      <c r="EA26" s="12">
        <f t="shared" si="60"/>
        <v>190</v>
      </c>
      <c r="EB26" s="12">
        <f t="shared" si="61"/>
        <v>160</v>
      </c>
      <c r="EC26" s="12">
        <f t="shared" si="62"/>
        <v>150</v>
      </c>
      <c r="ED26" s="12">
        <f t="shared" si="63"/>
        <v>136</v>
      </c>
      <c r="EE26" s="12">
        <f t="shared" si="64"/>
        <v>132</v>
      </c>
      <c r="EF26" s="12">
        <f t="shared" si="65"/>
        <v>132</v>
      </c>
      <c r="EG26" s="12">
        <f t="shared" si="66"/>
        <v>128</v>
      </c>
      <c r="EH26" s="12">
        <f t="shared" si="67"/>
        <v>122</v>
      </c>
      <c r="EI26" s="12">
        <f t="shared" si="68"/>
        <v>118</v>
      </c>
      <c r="EJ26" s="12">
        <f t="shared" si="69"/>
        <v>108</v>
      </c>
      <c r="EK26" s="12">
        <f t="shared" si="70"/>
        <v>126</v>
      </c>
      <c r="EL26" s="12">
        <f t="shared" si="71"/>
        <v>122</v>
      </c>
      <c r="EM26" s="12">
        <f t="shared" si="72"/>
        <v>118</v>
      </c>
      <c r="EN26" s="12">
        <f t="shared" si="73"/>
        <v>112</v>
      </c>
      <c r="EO26" s="12">
        <f t="shared" si="74"/>
        <v>108</v>
      </c>
      <c r="EP26" s="12">
        <f t="shared" si="75"/>
        <v>98</v>
      </c>
      <c r="EQ26" s="12">
        <f t="shared" si="76"/>
        <v>94</v>
      </c>
      <c r="ER26" s="12">
        <f t="shared" si="77"/>
        <v>102</v>
      </c>
      <c r="ES26" s="12">
        <f t="shared" si="78"/>
        <v>88</v>
      </c>
      <c r="ET26" s="12">
        <f t="shared" si="79"/>
        <v>84</v>
      </c>
      <c r="EU26" s="12">
        <f t="shared" si="80"/>
        <v>78</v>
      </c>
      <c r="EV26" s="12">
        <f t="shared" si="81"/>
        <v>78</v>
      </c>
      <c r="EW26" s="12">
        <f t="shared" si="82"/>
        <v>58</v>
      </c>
      <c r="EX26" s="12">
        <f t="shared" si="83"/>
        <v>54</v>
      </c>
      <c r="EY26" s="12">
        <f t="shared" si="84"/>
        <v>34</v>
      </c>
      <c r="EZ26" s="12">
        <v>26</v>
      </c>
      <c r="FD26" s="12">
        <f>LARGE($FD$35:$FD$38,3)</f>
        <v>-7.01</v>
      </c>
      <c r="FE26" s="12" t="str">
        <f>VLOOKUP(FD26,$FD$35:$FE$38,2,0)</f>
        <v>Sweeps 2</v>
      </c>
      <c r="FH26" s="12">
        <v>700000</v>
      </c>
      <c r="FI26" s="12">
        <v>24</v>
      </c>
      <c r="FJ26" s="12">
        <v>700000</v>
      </c>
    </row>
    <row r="27" spans="1:166" ht="13.35" customHeight="1" x14ac:dyDescent="0.2">
      <c r="A27" s="21">
        <f t="shared" si="1"/>
        <v>26</v>
      </c>
      <c r="B27" s="22">
        <f t="shared" si="34"/>
        <v>-1</v>
      </c>
      <c r="C27" s="21">
        <f t="shared" si="2"/>
        <v>26</v>
      </c>
      <c r="E27" s="27" t="s">
        <v>588</v>
      </c>
      <c r="F27" s="28" t="s">
        <v>972</v>
      </c>
      <c r="G27" s="28" t="s">
        <v>976</v>
      </c>
      <c r="H27" s="28" t="s">
        <v>973</v>
      </c>
      <c r="I27" s="28" t="s">
        <v>976</v>
      </c>
      <c r="J27" s="28" t="s">
        <v>972</v>
      </c>
      <c r="K27" s="28" t="s">
        <v>990</v>
      </c>
      <c r="L27" s="28" t="s">
        <v>990</v>
      </c>
      <c r="M27" s="28" t="s">
        <v>991</v>
      </c>
      <c r="N27" s="28" t="s">
        <v>977</v>
      </c>
      <c r="O27" s="28" t="s">
        <v>990</v>
      </c>
      <c r="P27" s="28" t="s">
        <v>990</v>
      </c>
      <c r="Q27" s="28" t="s">
        <v>990</v>
      </c>
      <c r="R27" s="28" t="s">
        <v>990</v>
      </c>
      <c r="S27" s="28" t="s">
        <v>990</v>
      </c>
      <c r="T27" s="28" t="s">
        <v>980</v>
      </c>
      <c r="U27" s="28" t="s">
        <v>976</v>
      </c>
      <c r="V27" s="28" t="s">
        <v>976</v>
      </c>
      <c r="W27" s="28" t="s">
        <v>976</v>
      </c>
      <c r="X27" s="28" t="s">
        <v>976</v>
      </c>
      <c r="Y27" s="28" t="s">
        <v>976</v>
      </c>
      <c r="Z27" s="28"/>
      <c r="AA27" s="28" t="s">
        <v>990</v>
      </c>
      <c r="AB27" s="28" t="s">
        <v>990</v>
      </c>
      <c r="AC27" s="28" t="s">
        <v>976</v>
      </c>
      <c r="AD27" s="28" t="s">
        <v>974</v>
      </c>
      <c r="AE27" s="28"/>
      <c r="AF27" s="28" t="s">
        <v>990</v>
      </c>
      <c r="AG27" s="28" t="s">
        <v>990</v>
      </c>
      <c r="AH27" s="28" t="s">
        <v>991</v>
      </c>
      <c r="AI27" s="28"/>
      <c r="AJ27" s="28" t="s">
        <v>976</v>
      </c>
      <c r="AK27" s="28" t="s">
        <v>990</v>
      </c>
      <c r="AL27" s="28" t="s">
        <v>987</v>
      </c>
      <c r="AM27" s="28" t="s">
        <v>972</v>
      </c>
      <c r="AN27" s="28"/>
      <c r="AO27" s="28" t="s">
        <v>990</v>
      </c>
      <c r="AP27" s="28" t="s">
        <v>990</v>
      </c>
      <c r="AQ27" s="28" t="s">
        <v>976</v>
      </c>
      <c r="AR27" s="28"/>
      <c r="AS27" s="28" t="s">
        <v>982</v>
      </c>
      <c r="AT27" s="28" t="s">
        <v>982</v>
      </c>
      <c r="AU27" s="28" t="s">
        <v>982</v>
      </c>
      <c r="AV27" s="28" t="s">
        <v>982</v>
      </c>
      <c r="AW27" s="28" t="s">
        <v>982</v>
      </c>
      <c r="AX27" s="28" t="s">
        <v>982</v>
      </c>
      <c r="AY27" s="28" t="s">
        <v>982</v>
      </c>
      <c r="AZ27" s="28" t="s">
        <v>982</v>
      </c>
      <c r="BA27" s="28" t="s">
        <v>982</v>
      </c>
      <c r="BB27" s="28" t="s">
        <v>982</v>
      </c>
      <c r="BC27" s="28" t="s">
        <v>982</v>
      </c>
      <c r="BD27" s="28" t="s">
        <v>982</v>
      </c>
      <c r="BE27" s="28" t="s">
        <v>982</v>
      </c>
      <c r="BF27" s="28" t="s">
        <v>982</v>
      </c>
      <c r="BG27" s="28" t="s">
        <v>982</v>
      </c>
      <c r="BH27" s="28" t="s">
        <v>982</v>
      </c>
      <c r="BI27" s="28" t="s">
        <v>982</v>
      </c>
      <c r="BJ27" s="28" t="s">
        <v>982</v>
      </c>
      <c r="BK27" s="28" t="s">
        <v>982</v>
      </c>
      <c r="BL27" s="28" t="s">
        <v>982</v>
      </c>
      <c r="BM27" s="28" t="s">
        <v>982</v>
      </c>
      <c r="BN27" s="28" t="s">
        <v>982</v>
      </c>
      <c r="BO27" s="28" t="s">
        <v>982</v>
      </c>
      <c r="BP27" s="28" t="s">
        <v>982</v>
      </c>
      <c r="BQ27" s="28" t="s">
        <v>982</v>
      </c>
      <c r="BR27" s="28" t="s">
        <v>982</v>
      </c>
      <c r="BS27" s="28" t="s">
        <v>982</v>
      </c>
      <c r="BT27" s="28" t="s">
        <v>982</v>
      </c>
      <c r="BU27" s="28" t="s">
        <v>982</v>
      </c>
      <c r="BV27" s="28" t="s">
        <v>982</v>
      </c>
      <c r="BW27" s="28" t="s">
        <v>982</v>
      </c>
      <c r="BX27" s="28" t="s">
        <v>982</v>
      </c>
      <c r="BY27" s="28" t="s">
        <v>982</v>
      </c>
      <c r="BZ27" s="28" t="s">
        <v>982</v>
      </c>
      <c r="CA27" s="28" t="s">
        <v>982</v>
      </c>
      <c r="CB27" s="28" t="s">
        <v>982</v>
      </c>
      <c r="CC27" s="28" t="s">
        <v>982</v>
      </c>
      <c r="CD27" s="28" t="s">
        <v>982</v>
      </c>
      <c r="CE27" s="28" t="s">
        <v>982</v>
      </c>
      <c r="CF27" s="28" t="s">
        <v>982</v>
      </c>
      <c r="CG27" s="28" t="s">
        <v>982</v>
      </c>
      <c r="CH27" s="28" t="s">
        <v>982</v>
      </c>
      <c r="CI27" s="28" t="s">
        <v>982</v>
      </c>
      <c r="CJ27" s="28" t="s">
        <v>982</v>
      </c>
      <c r="CK27" s="28" t="s">
        <v>982</v>
      </c>
      <c r="CL27" s="28" t="s">
        <v>982</v>
      </c>
      <c r="CM27" s="28" t="s">
        <v>982</v>
      </c>
      <c r="CN27" s="28" t="s">
        <v>982</v>
      </c>
      <c r="CO27" s="28" t="s">
        <v>982</v>
      </c>
      <c r="CP27" s="28" t="s">
        <v>982</v>
      </c>
      <c r="CQ27" s="28" t="s">
        <v>982</v>
      </c>
      <c r="CR27" s="28"/>
      <c r="CS27" s="28" t="s">
        <v>980</v>
      </c>
      <c r="CT27" s="28" t="s">
        <v>973</v>
      </c>
      <c r="CU27" s="28" t="s">
        <v>976</v>
      </c>
      <c r="CV27" s="28" t="s">
        <v>976</v>
      </c>
      <c r="CW27" s="28"/>
      <c r="CX27" s="28" t="s">
        <v>974</v>
      </c>
      <c r="CY27" s="28" t="s">
        <v>991</v>
      </c>
      <c r="CZ27" s="28" t="s">
        <v>977</v>
      </c>
      <c r="DA27" s="28" t="s">
        <v>980</v>
      </c>
      <c r="DB27" s="28" t="s">
        <v>990</v>
      </c>
      <c r="DC27" s="28" t="s">
        <v>991</v>
      </c>
      <c r="DD27" s="28" t="s">
        <v>990</v>
      </c>
      <c r="DE27" s="28"/>
      <c r="DF27" s="12">
        <v>26</v>
      </c>
      <c r="DH27" s="12">
        <v>2</v>
      </c>
      <c r="DI27" s="12">
        <f>Skills!$K$7</f>
        <v>-2.0099999999999998</v>
      </c>
      <c r="DK27" s="12" t="s">
        <v>1309</v>
      </c>
      <c r="DQ27" s="35">
        <v>24</v>
      </c>
      <c r="DR27" s="21">
        <v>32</v>
      </c>
      <c r="DS27" s="21">
        <v>54</v>
      </c>
      <c r="DT27" s="32">
        <v>22</v>
      </c>
      <c r="DU27" s="21">
        <v>86</v>
      </c>
      <c r="DV27" s="31">
        <f t="shared" si="3"/>
        <v>118</v>
      </c>
      <c r="DW27" s="30">
        <f t="shared" si="6"/>
        <v>126</v>
      </c>
      <c r="DX27" s="36">
        <v>22</v>
      </c>
      <c r="DY27" s="23">
        <v>88</v>
      </c>
      <c r="DZ27" s="12">
        <v>25</v>
      </c>
      <c r="EA27" s="12">
        <f t="shared" si="60"/>
        <v>195</v>
      </c>
      <c r="EB27" s="12">
        <f t="shared" si="61"/>
        <v>165</v>
      </c>
      <c r="EC27" s="12">
        <f t="shared" si="62"/>
        <v>155</v>
      </c>
      <c r="ED27" s="12">
        <f t="shared" si="63"/>
        <v>140</v>
      </c>
      <c r="EE27" s="12">
        <f t="shared" si="64"/>
        <v>135</v>
      </c>
      <c r="EF27" s="12">
        <f t="shared" si="65"/>
        <v>135</v>
      </c>
      <c r="EG27" s="12">
        <f t="shared" si="66"/>
        <v>130</v>
      </c>
      <c r="EH27" s="12">
        <f t="shared" si="67"/>
        <v>125</v>
      </c>
      <c r="EI27" s="12">
        <f t="shared" si="68"/>
        <v>120</v>
      </c>
      <c r="EJ27" s="12">
        <f t="shared" si="69"/>
        <v>110</v>
      </c>
      <c r="EK27" s="12">
        <f t="shared" si="70"/>
        <v>130</v>
      </c>
      <c r="EL27" s="12">
        <f t="shared" si="71"/>
        <v>125</v>
      </c>
      <c r="EM27" s="12">
        <f t="shared" si="72"/>
        <v>120</v>
      </c>
      <c r="EN27" s="12">
        <f t="shared" si="73"/>
        <v>115</v>
      </c>
      <c r="EO27" s="12">
        <f t="shared" si="74"/>
        <v>110</v>
      </c>
      <c r="EP27" s="12">
        <f t="shared" si="75"/>
        <v>100</v>
      </c>
      <c r="EQ27" s="12">
        <f t="shared" si="76"/>
        <v>95</v>
      </c>
      <c r="ER27" s="12">
        <f t="shared" si="77"/>
        <v>105</v>
      </c>
      <c r="ES27" s="12">
        <f t="shared" si="78"/>
        <v>90</v>
      </c>
      <c r="ET27" s="12">
        <f t="shared" si="79"/>
        <v>85</v>
      </c>
      <c r="EU27" s="12">
        <f t="shared" si="80"/>
        <v>80</v>
      </c>
      <c r="EV27" s="12">
        <f t="shared" si="81"/>
        <v>80</v>
      </c>
      <c r="EW27" s="12">
        <f t="shared" si="82"/>
        <v>60</v>
      </c>
      <c r="EX27" s="12">
        <f t="shared" si="83"/>
        <v>55</v>
      </c>
      <c r="EY27" s="12">
        <f t="shared" si="84"/>
        <v>35</v>
      </c>
      <c r="EZ27" s="12">
        <v>27</v>
      </c>
      <c r="FD27" s="12">
        <f>LARGE($FD$35:$FD$38,4)</f>
        <v>-7.01</v>
      </c>
      <c r="FE27" s="12" t="str">
        <f>VLOOKUP(FD27,$FD$35:$FE$38,2,0)</f>
        <v>Sweeps 2</v>
      </c>
      <c r="FH27" s="12">
        <v>750000</v>
      </c>
      <c r="FI27" s="12">
        <v>25</v>
      </c>
      <c r="FJ27" s="12">
        <v>750000</v>
      </c>
    </row>
    <row r="28" spans="1:166" ht="13.35" customHeight="1" x14ac:dyDescent="0.2">
      <c r="A28" s="21">
        <f t="shared" si="1"/>
        <v>27</v>
      </c>
      <c r="B28" s="22">
        <f t="shared" si="34"/>
        <v>-1</v>
      </c>
      <c r="C28" s="21">
        <f t="shared" si="2"/>
        <v>27</v>
      </c>
      <c r="E28" s="27" t="s">
        <v>598</v>
      </c>
      <c r="F28" s="28" t="s">
        <v>969</v>
      </c>
      <c r="G28" s="28" t="s">
        <v>983</v>
      </c>
      <c r="H28" s="28" t="s">
        <v>984</v>
      </c>
      <c r="I28" s="28" t="s">
        <v>969</v>
      </c>
      <c r="J28" s="28" t="s">
        <v>1036</v>
      </c>
      <c r="K28" s="28" t="s">
        <v>975</v>
      </c>
      <c r="L28" s="28" t="s">
        <v>975</v>
      </c>
      <c r="M28" s="28" t="s">
        <v>972</v>
      </c>
      <c r="N28" s="28" t="s">
        <v>976</v>
      </c>
      <c r="O28" s="28" t="s">
        <v>972</v>
      </c>
      <c r="P28" s="28" t="s">
        <v>976</v>
      </c>
      <c r="Q28" s="28" t="s">
        <v>976</v>
      </c>
      <c r="R28" s="28" t="s">
        <v>972</v>
      </c>
      <c r="S28" s="28" t="s">
        <v>972</v>
      </c>
      <c r="T28" s="28" t="s">
        <v>985</v>
      </c>
      <c r="U28" s="28" t="s">
        <v>983</v>
      </c>
      <c r="V28" s="28" t="s">
        <v>987</v>
      </c>
      <c r="W28" s="28" t="s">
        <v>991</v>
      </c>
      <c r="X28" s="28" t="s">
        <v>982</v>
      </c>
      <c r="Y28" s="28" t="s">
        <v>987</v>
      </c>
      <c r="Z28" s="28"/>
      <c r="AA28" s="28" t="s">
        <v>980</v>
      </c>
      <c r="AB28" s="28" t="s">
        <v>980</v>
      </c>
      <c r="AC28" s="28" t="s">
        <v>973</v>
      </c>
      <c r="AD28" s="28" t="s">
        <v>974</v>
      </c>
      <c r="AE28" s="28"/>
      <c r="AF28" s="28" t="s">
        <v>975</v>
      </c>
      <c r="AG28" s="28" t="s">
        <v>975</v>
      </c>
      <c r="AH28" s="28" t="s">
        <v>991</v>
      </c>
      <c r="AI28" s="28"/>
      <c r="AJ28" s="28" t="s">
        <v>1010</v>
      </c>
      <c r="AK28" s="28" t="s">
        <v>972</v>
      </c>
      <c r="AL28" s="28" t="s">
        <v>976</v>
      </c>
      <c r="AM28" s="28" t="s">
        <v>976</v>
      </c>
      <c r="AN28" s="28"/>
      <c r="AO28" s="28" t="s">
        <v>973</v>
      </c>
      <c r="AP28" s="28" t="s">
        <v>972</v>
      </c>
      <c r="AQ28" s="28" t="s">
        <v>985</v>
      </c>
      <c r="AR28" s="28"/>
      <c r="AS28" s="28" t="s">
        <v>972</v>
      </c>
      <c r="AT28" s="28" t="s">
        <v>972</v>
      </c>
      <c r="AU28" s="28" t="s">
        <v>972</v>
      </c>
      <c r="AV28" s="28" t="s">
        <v>972</v>
      </c>
      <c r="AW28" s="28" t="s">
        <v>972</v>
      </c>
      <c r="AX28" s="28" t="s">
        <v>972</v>
      </c>
      <c r="AY28" s="28" t="s">
        <v>972</v>
      </c>
      <c r="AZ28" s="28" t="s">
        <v>972</v>
      </c>
      <c r="BA28" s="28" t="s">
        <v>972</v>
      </c>
      <c r="BB28" s="28" t="s">
        <v>972</v>
      </c>
      <c r="BC28" s="28" t="s">
        <v>972</v>
      </c>
      <c r="BD28" s="28" t="s">
        <v>972</v>
      </c>
      <c r="BE28" s="28" t="s">
        <v>972</v>
      </c>
      <c r="BF28" s="28" t="s">
        <v>972</v>
      </c>
      <c r="BG28" s="28" t="s">
        <v>972</v>
      </c>
      <c r="BH28" s="28" t="s">
        <v>972</v>
      </c>
      <c r="BI28" s="28" t="s">
        <v>972</v>
      </c>
      <c r="BJ28" s="28" t="s">
        <v>972</v>
      </c>
      <c r="BK28" s="28" t="s">
        <v>972</v>
      </c>
      <c r="BL28" s="28" t="s">
        <v>972</v>
      </c>
      <c r="BM28" s="28" t="s">
        <v>972</v>
      </c>
      <c r="BN28" s="28" t="s">
        <v>972</v>
      </c>
      <c r="BO28" s="28" t="s">
        <v>972</v>
      </c>
      <c r="BP28" s="28" t="s">
        <v>972</v>
      </c>
      <c r="BQ28" s="28" t="s">
        <v>972</v>
      </c>
      <c r="BR28" s="28" t="s">
        <v>972</v>
      </c>
      <c r="BS28" s="28" t="s">
        <v>972</v>
      </c>
      <c r="BT28" s="28" t="s">
        <v>972</v>
      </c>
      <c r="BU28" s="28" t="s">
        <v>972</v>
      </c>
      <c r="BV28" s="28" t="s">
        <v>972</v>
      </c>
      <c r="BW28" s="28" t="s">
        <v>972</v>
      </c>
      <c r="BX28" s="28" t="s">
        <v>972</v>
      </c>
      <c r="BY28" s="28" t="s">
        <v>972</v>
      </c>
      <c r="BZ28" s="28" t="s">
        <v>972</v>
      </c>
      <c r="CA28" s="28" t="s">
        <v>972</v>
      </c>
      <c r="CB28" s="28" t="s">
        <v>972</v>
      </c>
      <c r="CC28" s="28" t="s">
        <v>972</v>
      </c>
      <c r="CD28" s="28" t="s">
        <v>972</v>
      </c>
      <c r="CE28" s="28" t="s">
        <v>972</v>
      </c>
      <c r="CF28" s="28" t="s">
        <v>972</v>
      </c>
      <c r="CG28" s="28" t="s">
        <v>972</v>
      </c>
      <c r="CH28" s="28" t="s">
        <v>972</v>
      </c>
      <c r="CI28" s="28" t="s">
        <v>972</v>
      </c>
      <c r="CJ28" s="28" t="s">
        <v>972</v>
      </c>
      <c r="CK28" s="28" t="s">
        <v>972</v>
      </c>
      <c r="CL28" s="28" t="s">
        <v>972</v>
      </c>
      <c r="CM28" s="28" t="s">
        <v>972</v>
      </c>
      <c r="CN28" s="28" t="s">
        <v>972</v>
      </c>
      <c r="CO28" s="28" t="s">
        <v>972</v>
      </c>
      <c r="CP28" s="28" t="s">
        <v>972</v>
      </c>
      <c r="CQ28" s="28" t="s">
        <v>972</v>
      </c>
      <c r="CR28" s="28"/>
      <c r="CS28" s="28" t="s">
        <v>969</v>
      </c>
      <c r="CT28" s="28" t="s">
        <v>984</v>
      </c>
      <c r="CU28" s="28" t="s">
        <v>983</v>
      </c>
      <c r="CV28" s="28" t="s">
        <v>984</v>
      </c>
      <c r="CW28" s="28"/>
      <c r="CX28" s="28" t="s">
        <v>982</v>
      </c>
      <c r="CY28" s="28" t="s">
        <v>972</v>
      </c>
      <c r="CZ28" s="28" t="s">
        <v>976</v>
      </c>
      <c r="DA28" s="28" t="s">
        <v>969</v>
      </c>
      <c r="DB28" s="28" t="s">
        <v>975</v>
      </c>
      <c r="DC28" s="28" t="s">
        <v>972</v>
      </c>
      <c r="DD28" s="28" t="s">
        <v>972</v>
      </c>
      <c r="DE28" s="28"/>
      <c r="DF28" s="12">
        <v>27</v>
      </c>
      <c r="DH28" s="12">
        <v>3</v>
      </c>
      <c r="DI28" s="12">
        <f>Skills!$K$9</f>
        <v>-9.9999999999997868E-3</v>
      </c>
      <c r="DK28" s="12">
        <f>VLOOKUP($DK$25,$DH$25:$DI$29,2)</f>
        <v>0</v>
      </c>
      <c r="DQ28" s="35">
        <v>25</v>
      </c>
      <c r="DR28" s="21">
        <v>33</v>
      </c>
      <c r="DS28" s="21">
        <v>55</v>
      </c>
      <c r="DT28" s="32">
        <v>23</v>
      </c>
      <c r="DU28" s="21">
        <v>88</v>
      </c>
      <c r="DV28" s="31">
        <f t="shared" si="3"/>
        <v>120</v>
      </c>
      <c r="DW28" s="30">
        <f t="shared" si="6"/>
        <v>130</v>
      </c>
      <c r="DX28" s="36">
        <v>23</v>
      </c>
      <c r="DY28" s="23">
        <v>90</v>
      </c>
      <c r="DZ28" s="12">
        <v>26</v>
      </c>
      <c r="EA28" s="12">
        <f t="shared" si="60"/>
        <v>200</v>
      </c>
      <c r="EB28" s="12">
        <f t="shared" si="61"/>
        <v>170</v>
      </c>
      <c r="EC28" s="12">
        <f t="shared" si="62"/>
        <v>160</v>
      </c>
      <c r="ED28" s="12">
        <f t="shared" si="63"/>
        <v>144</v>
      </c>
      <c r="EE28" s="12">
        <f t="shared" si="64"/>
        <v>138</v>
      </c>
      <c r="EF28" s="12">
        <f t="shared" si="65"/>
        <v>138</v>
      </c>
      <c r="EG28" s="12">
        <f t="shared" si="66"/>
        <v>132</v>
      </c>
      <c r="EH28" s="12">
        <f t="shared" si="67"/>
        <v>128</v>
      </c>
      <c r="EI28" s="12">
        <f t="shared" si="68"/>
        <v>122</v>
      </c>
      <c r="EJ28" s="12">
        <f t="shared" si="69"/>
        <v>112</v>
      </c>
      <c r="EK28" s="12">
        <f t="shared" si="70"/>
        <v>134</v>
      </c>
      <c r="EL28" s="12">
        <f t="shared" si="71"/>
        <v>128</v>
      </c>
      <c r="EM28" s="12">
        <f t="shared" si="72"/>
        <v>122</v>
      </c>
      <c r="EN28" s="12">
        <f t="shared" si="73"/>
        <v>118</v>
      </c>
      <c r="EO28" s="12">
        <f t="shared" si="74"/>
        <v>112</v>
      </c>
      <c r="EP28" s="12">
        <f t="shared" si="75"/>
        <v>102</v>
      </c>
      <c r="EQ28" s="12">
        <f t="shared" si="76"/>
        <v>96</v>
      </c>
      <c r="ER28" s="12">
        <f t="shared" si="77"/>
        <v>108</v>
      </c>
      <c r="ES28" s="12">
        <f t="shared" si="78"/>
        <v>92</v>
      </c>
      <c r="ET28" s="12">
        <f t="shared" si="79"/>
        <v>86</v>
      </c>
      <c r="EU28" s="12">
        <f t="shared" si="80"/>
        <v>82</v>
      </c>
      <c r="EV28" s="12">
        <f t="shared" si="81"/>
        <v>82</v>
      </c>
      <c r="EW28" s="12">
        <f t="shared" si="82"/>
        <v>62</v>
      </c>
      <c r="EX28" s="12">
        <f t="shared" si="83"/>
        <v>56</v>
      </c>
      <c r="EY28" s="12">
        <f t="shared" si="84"/>
        <v>36</v>
      </c>
      <c r="EZ28" s="12">
        <v>28</v>
      </c>
      <c r="FD28" s="12">
        <f>LARGE($FD$40:$FD$43,1)</f>
        <v>-5.01</v>
      </c>
      <c r="FE28" s="12" t="str">
        <f>VLOOKUP(FD28,$FD$40:$FE$43,2,0)</f>
        <v>Strikes 2</v>
      </c>
      <c r="FH28" s="12">
        <v>800000</v>
      </c>
      <c r="FI28" s="12">
        <v>26</v>
      </c>
      <c r="FJ28" s="12">
        <v>800000</v>
      </c>
    </row>
    <row r="29" spans="1:166" ht="13.35" customHeight="1" x14ac:dyDescent="0.2">
      <c r="A29" s="21">
        <f t="shared" si="1"/>
        <v>28</v>
      </c>
      <c r="B29" s="22">
        <f t="shared" si="34"/>
        <v>-1</v>
      </c>
      <c r="C29" s="21">
        <f t="shared" si="2"/>
        <v>28</v>
      </c>
      <c r="E29" s="27" t="s">
        <v>603</v>
      </c>
      <c r="F29" s="28" t="s">
        <v>1017</v>
      </c>
      <c r="G29" s="28" t="s">
        <v>1017</v>
      </c>
      <c r="H29" s="28" t="s">
        <v>1012</v>
      </c>
      <c r="I29" s="28" t="s">
        <v>1018</v>
      </c>
      <c r="J29" s="28" t="s">
        <v>969</v>
      </c>
      <c r="K29" s="28" t="s">
        <v>1010</v>
      </c>
      <c r="L29" s="28" t="s">
        <v>1010</v>
      </c>
      <c r="M29" s="28" t="s">
        <v>1010</v>
      </c>
      <c r="N29" s="28" t="s">
        <v>1010</v>
      </c>
      <c r="O29" s="28" t="s">
        <v>1010</v>
      </c>
      <c r="P29" s="28" t="s">
        <v>1010</v>
      </c>
      <c r="Q29" s="28" t="s">
        <v>1010</v>
      </c>
      <c r="R29" s="28" t="s">
        <v>1010</v>
      </c>
      <c r="S29" s="28" t="s">
        <v>1010</v>
      </c>
      <c r="T29" s="28" t="s">
        <v>1019</v>
      </c>
      <c r="U29" s="28" t="s">
        <v>1019</v>
      </c>
      <c r="V29" s="28" t="s">
        <v>1019</v>
      </c>
      <c r="W29" s="28" t="s">
        <v>1019</v>
      </c>
      <c r="X29" s="28" t="s">
        <v>1019</v>
      </c>
      <c r="Y29" s="28" t="s">
        <v>1019</v>
      </c>
      <c r="Z29" s="28"/>
      <c r="AA29" s="28" t="s">
        <v>988</v>
      </c>
      <c r="AB29" s="28" t="s">
        <v>987</v>
      </c>
      <c r="AC29" s="28" t="s">
        <v>1010</v>
      </c>
      <c r="AD29" s="28" t="s">
        <v>1019</v>
      </c>
      <c r="AE29" s="28"/>
      <c r="AF29" s="28" t="s">
        <v>1010</v>
      </c>
      <c r="AG29" s="28" t="s">
        <v>988</v>
      </c>
      <c r="AH29" s="28" t="s">
        <v>1019</v>
      </c>
      <c r="AI29" s="28"/>
      <c r="AJ29" s="28" t="s">
        <v>1019</v>
      </c>
      <c r="AK29" s="28" t="s">
        <v>1010</v>
      </c>
      <c r="AL29" s="28" t="s">
        <v>1010</v>
      </c>
      <c r="AM29" s="28" t="s">
        <v>1010</v>
      </c>
      <c r="AN29" s="28"/>
      <c r="AO29" s="28" t="s">
        <v>1010</v>
      </c>
      <c r="AP29" s="28" t="s">
        <v>1010</v>
      </c>
      <c r="AQ29" s="28" t="s">
        <v>1019</v>
      </c>
      <c r="AR29" s="28"/>
      <c r="AS29" s="28" t="s">
        <v>1010</v>
      </c>
      <c r="AT29" s="28" t="s">
        <v>1010</v>
      </c>
      <c r="AU29" s="28" t="s">
        <v>1010</v>
      </c>
      <c r="AV29" s="28" t="s">
        <v>1010</v>
      </c>
      <c r="AW29" s="28" t="s">
        <v>1010</v>
      </c>
      <c r="AX29" s="28" t="s">
        <v>1010</v>
      </c>
      <c r="AY29" s="28" t="s">
        <v>1010</v>
      </c>
      <c r="AZ29" s="28" t="s">
        <v>1010</v>
      </c>
      <c r="BA29" s="28" t="s">
        <v>1010</v>
      </c>
      <c r="BB29" s="28" t="s">
        <v>1010</v>
      </c>
      <c r="BC29" s="28" t="s">
        <v>1010</v>
      </c>
      <c r="BD29" s="28" t="s">
        <v>1010</v>
      </c>
      <c r="BE29" s="28" t="s">
        <v>1010</v>
      </c>
      <c r="BF29" s="28" t="s">
        <v>1010</v>
      </c>
      <c r="BG29" s="28" t="s">
        <v>1010</v>
      </c>
      <c r="BH29" s="28" t="s">
        <v>1010</v>
      </c>
      <c r="BI29" s="28" t="s">
        <v>1010</v>
      </c>
      <c r="BJ29" s="28" t="s">
        <v>1010</v>
      </c>
      <c r="BK29" s="28" t="s">
        <v>1010</v>
      </c>
      <c r="BL29" s="28" t="s">
        <v>1010</v>
      </c>
      <c r="BM29" s="28" t="s">
        <v>1010</v>
      </c>
      <c r="BN29" s="28" t="s">
        <v>1010</v>
      </c>
      <c r="BO29" s="28" t="s">
        <v>1010</v>
      </c>
      <c r="BP29" s="28" t="s">
        <v>1010</v>
      </c>
      <c r="BQ29" s="28" t="s">
        <v>1010</v>
      </c>
      <c r="BR29" s="28" t="s">
        <v>1010</v>
      </c>
      <c r="BS29" s="28" t="s">
        <v>1010</v>
      </c>
      <c r="BT29" s="28" t="s">
        <v>1010</v>
      </c>
      <c r="BU29" s="28" t="s">
        <v>1010</v>
      </c>
      <c r="BV29" s="28" t="s">
        <v>1010</v>
      </c>
      <c r="BW29" s="28" t="s">
        <v>1010</v>
      </c>
      <c r="BX29" s="28" t="s">
        <v>1010</v>
      </c>
      <c r="BY29" s="28" t="s">
        <v>1010</v>
      </c>
      <c r="BZ29" s="28" t="s">
        <v>1010</v>
      </c>
      <c r="CA29" s="28" t="s">
        <v>1010</v>
      </c>
      <c r="CB29" s="28" t="s">
        <v>1010</v>
      </c>
      <c r="CC29" s="28" t="s">
        <v>1010</v>
      </c>
      <c r="CD29" s="28" t="s">
        <v>1010</v>
      </c>
      <c r="CE29" s="28" t="s">
        <v>1010</v>
      </c>
      <c r="CF29" s="28" t="s">
        <v>1010</v>
      </c>
      <c r="CG29" s="28" t="s">
        <v>1010</v>
      </c>
      <c r="CH29" s="28" t="s">
        <v>1010</v>
      </c>
      <c r="CI29" s="28" t="s">
        <v>1010</v>
      </c>
      <c r="CJ29" s="28" t="s">
        <v>1010</v>
      </c>
      <c r="CK29" s="28" t="s">
        <v>1010</v>
      </c>
      <c r="CL29" s="28" t="s">
        <v>1010</v>
      </c>
      <c r="CM29" s="28" t="s">
        <v>1010</v>
      </c>
      <c r="CN29" s="28" t="s">
        <v>1010</v>
      </c>
      <c r="CO29" s="28" t="s">
        <v>1010</v>
      </c>
      <c r="CP29" s="28" t="s">
        <v>1010</v>
      </c>
      <c r="CQ29" s="28" t="s">
        <v>1010</v>
      </c>
      <c r="CR29" s="28"/>
      <c r="CS29" s="28" t="s">
        <v>1017</v>
      </c>
      <c r="CT29" s="28" t="s">
        <v>1017</v>
      </c>
      <c r="CU29" s="28" t="s">
        <v>911</v>
      </c>
      <c r="CV29" s="28" t="s">
        <v>1018</v>
      </c>
      <c r="CW29" s="28"/>
      <c r="CX29" s="28" t="s">
        <v>1019</v>
      </c>
      <c r="CY29" s="28" t="s">
        <v>1010</v>
      </c>
      <c r="CZ29" s="28" t="s">
        <v>1010</v>
      </c>
      <c r="DA29" s="28" t="s">
        <v>1017</v>
      </c>
      <c r="DB29" s="28" t="s">
        <v>1010</v>
      </c>
      <c r="DC29" s="28" t="s">
        <v>1010</v>
      </c>
      <c r="DD29" s="28" t="s">
        <v>1010</v>
      </c>
      <c r="DE29" s="28"/>
      <c r="DF29" s="12">
        <v>28</v>
      </c>
      <c r="DH29" s="12">
        <v>4</v>
      </c>
      <c r="DI29" s="12">
        <f>Skills!$K$4</f>
        <v>-9.9999999999997868E-3</v>
      </c>
      <c r="DQ29" s="35">
        <v>26</v>
      </c>
      <c r="DR29" s="21">
        <v>33</v>
      </c>
      <c r="DS29" s="21">
        <v>56</v>
      </c>
      <c r="DT29" s="32">
        <v>23</v>
      </c>
      <c r="DU29" s="21">
        <v>89</v>
      </c>
      <c r="DV29" s="31">
        <f t="shared" si="3"/>
        <v>122</v>
      </c>
      <c r="DW29" s="30">
        <f t="shared" si="6"/>
        <v>134</v>
      </c>
      <c r="DX29" s="36">
        <v>23</v>
      </c>
      <c r="DY29" s="23">
        <v>92</v>
      </c>
      <c r="DZ29" s="12">
        <v>27</v>
      </c>
      <c r="EA29" s="12">
        <f t="shared" si="60"/>
        <v>205</v>
      </c>
      <c r="EB29" s="12">
        <f t="shared" si="61"/>
        <v>175</v>
      </c>
      <c r="EC29" s="12">
        <f t="shared" si="62"/>
        <v>165</v>
      </c>
      <c r="ED29" s="12">
        <f t="shared" si="63"/>
        <v>148</v>
      </c>
      <c r="EE29" s="12">
        <f t="shared" si="64"/>
        <v>141</v>
      </c>
      <c r="EF29" s="12">
        <f t="shared" si="65"/>
        <v>141</v>
      </c>
      <c r="EG29" s="12">
        <f t="shared" si="66"/>
        <v>134</v>
      </c>
      <c r="EH29" s="12">
        <f t="shared" si="67"/>
        <v>131</v>
      </c>
      <c r="EI29" s="12">
        <f t="shared" si="68"/>
        <v>124</v>
      </c>
      <c r="EJ29" s="12">
        <f t="shared" si="69"/>
        <v>114</v>
      </c>
      <c r="EK29" s="12">
        <f t="shared" si="70"/>
        <v>138</v>
      </c>
      <c r="EL29" s="12">
        <f t="shared" si="71"/>
        <v>131</v>
      </c>
      <c r="EM29" s="12">
        <f t="shared" si="72"/>
        <v>124</v>
      </c>
      <c r="EN29" s="12">
        <f t="shared" si="73"/>
        <v>121</v>
      </c>
      <c r="EO29" s="12">
        <f t="shared" si="74"/>
        <v>114</v>
      </c>
      <c r="EP29" s="12">
        <f t="shared" si="75"/>
        <v>104</v>
      </c>
      <c r="EQ29" s="12">
        <f t="shared" si="76"/>
        <v>97</v>
      </c>
      <c r="ER29" s="12">
        <f t="shared" si="77"/>
        <v>111</v>
      </c>
      <c r="ES29" s="12">
        <f t="shared" si="78"/>
        <v>94</v>
      </c>
      <c r="ET29" s="12">
        <f t="shared" si="79"/>
        <v>87</v>
      </c>
      <c r="EU29" s="12">
        <f t="shared" si="80"/>
        <v>84</v>
      </c>
      <c r="EV29" s="12">
        <f t="shared" si="81"/>
        <v>84</v>
      </c>
      <c r="EW29" s="12">
        <f t="shared" si="82"/>
        <v>64</v>
      </c>
      <c r="EX29" s="12">
        <f t="shared" si="83"/>
        <v>57</v>
      </c>
      <c r="EY29" s="12">
        <f t="shared" si="84"/>
        <v>37</v>
      </c>
      <c r="EZ29" s="12">
        <v>29</v>
      </c>
      <c r="FD29" s="12">
        <f>LARGE($FD$40:$FD$43,2)</f>
        <v>-5.01</v>
      </c>
      <c r="FE29" s="12" t="str">
        <f>VLOOKUP(FD29,$FD$40:$FE$43,2,0)</f>
        <v>Strikes 2</v>
      </c>
      <c r="FH29" s="12">
        <v>850000</v>
      </c>
      <c r="FI29" s="12">
        <v>27</v>
      </c>
      <c r="FJ29" s="12">
        <v>850000</v>
      </c>
    </row>
    <row r="30" spans="1:166" ht="13.35" customHeight="1" thickBot="1" x14ac:dyDescent="0.25">
      <c r="A30" s="21">
        <f t="shared" si="1"/>
        <v>29</v>
      </c>
      <c r="B30" s="22">
        <f t="shared" si="34"/>
        <v>-1</v>
      </c>
      <c r="C30" s="21">
        <f t="shared" si="2"/>
        <v>29</v>
      </c>
      <c r="E30" s="27" t="s">
        <v>607</v>
      </c>
      <c r="F30" s="28" t="s">
        <v>1022</v>
      </c>
      <c r="G30" s="28" t="s">
        <v>1011</v>
      </c>
      <c r="H30" s="28" t="s">
        <v>1012</v>
      </c>
      <c r="I30" s="28" t="s">
        <v>1011</v>
      </c>
      <c r="J30" s="28" t="s">
        <v>911</v>
      </c>
      <c r="K30" s="28" t="s">
        <v>986</v>
      </c>
      <c r="L30" s="28" t="s">
        <v>986</v>
      </c>
      <c r="M30" s="28" t="s">
        <v>986</v>
      </c>
      <c r="N30" s="28" t="s">
        <v>986</v>
      </c>
      <c r="O30" s="28" t="s">
        <v>986</v>
      </c>
      <c r="P30" s="28" t="s">
        <v>986</v>
      </c>
      <c r="Q30" s="28" t="s">
        <v>983</v>
      </c>
      <c r="R30" s="28" t="s">
        <v>983</v>
      </c>
      <c r="S30" s="28" t="s">
        <v>983</v>
      </c>
      <c r="T30" s="28" t="s">
        <v>969</v>
      </c>
      <c r="U30" s="28" t="s">
        <v>969</v>
      </c>
      <c r="V30" s="28" t="s">
        <v>969</v>
      </c>
      <c r="W30" s="28" t="s">
        <v>969</v>
      </c>
      <c r="X30" s="28" t="s">
        <v>969</v>
      </c>
      <c r="Y30" s="28" t="s">
        <v>969</v>
      </c>
      <c r="Z30" s="28"/>
      <c r="AA30" s="28" t="s">
        <v>986</v>
      </c>
      <c r="AB30" s="28" t="s">
        <v>986</v>
      </c>
      <c r="AC30" s="28" t="s">
        <v>969</v>
      </c>
      <c r="AD30" s="28" t="s">
        <v>969</v>
      </c>
      <c r="AE30" s="28"/>
      <c r="AF30" s="28" t="s">
        <v>986</v>
      </c>
      <c r="AG30" s="28" t="s">
        <v>1010</v>
      </c>
      <c r="AH30" s="28" t="s">
        <v>969</v>
      </c>
      <c r="AI30" s="28"/>
      <c r="AJ30" s="28" t="s">
        <v>969</v>
      </c>
      <c r="AK30" s="28" t="s">
        <v>983</v>
      </c>
      <c r="AL30" s="28" t="s">
        <v>1010</v>
      </c>
      <c r="AM30" s="28" t="s">
        <v>983</v>
      </c>
      <c r="AN30" s="28"/>
      <c r="AO30" s="28" t="s">
        <v>983</v>
      </c>
      <c r="AP30" s="28" t="s">
        <v>983</v>
      </c>
      <c r="AQ30" s="28" t="s">
        <v>969</v>
      </c>
      <c r="AR30" s="28"/>
      <c r="AS30" s="28" t="s">
        <v>986</v>
      </c>
      <c r="AT30" s="28" t="s">
        <v>986</v>
      </c>
      <c r="AU30" s="28" t="s">
        <v>986</v>
      </c>
      <c r="AV30" s="28" t="s">
        <v>986</v>
      </c>
      <c r="AW30" s="28" t="s">
        <v>986</v>
      </c>
      <c r="AX30" s="28" t="s">
        <v>986</v>
      </c>
      <c r="AY30" s="28" t="s">
        <v>986</v>
      </c>
      <c r="AZ30" s="28" t="s">
        <v>986</v>
      </c>
      <c r="BA30" s="28" t="s">
        <v>986</v>
      </c>
      <c r="BB30" s="28" t="s">
        <v>986</v>
      </c>
      <c r="BC30" s="28" t="s">
        <v>986</v>
      </c>
      <c r="BD30" s="28" t="s">
        <v>986</v>
      </c>
      <c r="BE30" s="28" t="s">
        <v>986</v>
      </c>
      <c r="BF30" s="28" t="s">
        <v>986</v>
      </c>
      <c r="BG30" s="28" t="s">
        <v>986</v>
      </c>
      <c r="BH30" s="28" t="s">
        <v>986</v>
      </c>
      <c r="BI30" s="28" t="s">
        <v>986</v>
      </c>
      <c r="BJ30" s="28" t="s">
        <v>986</v>
      </c>
      <c r="BK30" s="28" t="s">
        <v>986</v>
      </c>
      <c r="BL30" s="28" t="s">
        <v>986</v>
      </c>
      <c r="BM30" s="28" t="s">
        <v>986</v>
      </c>
      <c r="BN30" s="28" t="s">
        <v>986</v>
      </c>
      <c r="BO30" s="28" t="s">
        <v>986</v>
      </c>
      <c r="BP30" s="28" t="s">
        <v>986</v>
      </c>
      <c r="BQ30" s="28" t="s">
        <v>986</v>
      </c>
      <c r="BR30" s="28" t="s">
        <v>986</v>
      </c>
      <c r="BS30" s="28" t="s">
        <v>986</v>
      </c>
      <c r="BT30" s="28" t="s">
        <v>986</v>
      </c>
      <c r="BU30" s="28" t="s">
        <v>986</v>
      </c>
      <c r="BV30" s="28" t="s">
        <v>986</v>
      </c>
      <c r="BW30" s="28" t="s">
        <v>986</v>
      </c>
      <c r="BX30" s="28" t="s">
        <v>986</v>
      </c>
      <c r="BY30" s="28" t="s">
        <v>986</v>
      </c>
      <c r="BZ30" s="28" t="s">
        <v>986</v>
      </c>
      <c r="CA30" s="28" t="s">
        <v>986</v>
      </c>
      <c r="CB30" s="28" t="s">
        <v>986</v>
      </c>
      <c r="CC30" s="28" t="s">
        <v>986</v>
      </c>
      <c r="CD30" s="28" t="s">
        <v>986</v>
      </c>
      <c r="CE30" s="28" t="s">
        <v>986</v>
      </c>
      <c r="CF30" s="28" t="s">
        <v>986</v>
      </c>
      <c r="CG30" s="28" t="s">
        <v>986</v>
      </c>
      <c r="CH30" s="28" t="s">
        <v>986</v>
      </c>
      <c r="CI30" s="28" t="s">
        <v>986</v>
      </c>
      <c r="CJ30" s="28" t="s">
        <v>986</v>
      </c>
      <c r="CK30" s="28" t="s">
        <v>986</v>
      </c>
      <c r="CL30" s="28" t="s">
        <v>986</v>
      </c>
      <c r="CM30" s="28" t="s">
        <v>986</v>
      </c>
      <c r="CN30" s="28" t="s">
        <v>986</v>
      </c>
      <c r="CO30" s="28" t="s">
        <v>986</v>
      </c>
      <c r="CP30" s="28" t="s">
        <v>986</v>
      </c>
      <c r="CQ30" s="28" t="s">
        <v>986</v>
      </c>
      <c r="CR30" s="28"/>
      <c r="CS30" s="28" t="s">
        <v>1022</v>
      </c>
      <c r="CT30" s="28" t="s">
        <v>1011</v>
      </c>
      <c r="CU30" s="28" t="s">
        <v>1012</v>
      </c>
      <c r="CV30" s="28" t="s">
        <v>1018</v>
      </c>
      <c r="CW30" s="28"/>
      <c r="CX30" s="28" t="s">
        <v>969</v>
      </c>
      <c r="CY30" s="28" t="s">
        <v>1010</v>
      </c>
      <c r="CZ30" s="28" t="s">
        <v>986</v>
      </c>
      <c r="DA30" s="28" t="s">
        <v>1022</v>
      </c>
      <c r="DB30" s="28" t="s">
        <v>986</v>
      </c>
      <c r="DC30" s="28" t="s">
        <v>986</v>
      </c>
      <c r="DD30" s="28" t="s">
        <v>986</v>
      </c>
      <c r="DE30" s="28"/>
      <c r="DF30" s="12">
        <v>29</v>
      </c>
      <c r="DQ30" s="35">
        <v>27</v>
      </c>
      <c r="DR30" s="21">
        <v>34</v>
      </c>
      <c r="DS30" s="21">
        <v>57</v>
      </c>
      <c r="DT30" s="32">
        <v>24</v>
      </c>
      <c r="DU30" s="21">
        <v>91</v>
      </c>
      <c r="DV30" s="31">
        <f t="shared" si="3"/>
        <v>124</v>
      </c>
      <c r="DW30" s="30">
        <f t="shared" si="6"/>
        <v>138</v>
      </c>
      <c r="DX30" s="36">
        <v>24</v>
      </c>
      <c r="DY30" s="23">
        <v>94</v>
      </c>
      <c r="DZ30" s="12">
        <v>28</v>
      </c>
      <c r="EA30" s="12">
        <f t="shared" si="60"/>
        <v>210</v>
      </c>
      <c r="EB30" s="12">
        <f t="shared" si="61"/>
        <v>180</v>
      </c>
      <c r="EC30" s="12">
        <f t="shared" si="62"/>
        <v>170</v>
      </c>
      <c r="ED30" s="12">
        <f t="shared" si="63"/>
        <v>152</v>
      </c>
      <c r="EE30" s="12">
        <f t="shared" si="64"/>
        <v>144</v>
      </c>
      <c r="EF30" s="12">
        <f t="shared" si="65"/>
        <v>144</v>
      </c>
      <c r="EG30" s="12">
        <f t="shared" si="66"/>
        <v>136</v>
      </c>
      <c r="EH30" s="12">
        <f t="shared" si="67"/>
        <v>134</v>
      </c>
      <c r="EI30" s="12">
        <f t="shared" si="68"/>
        <v>126</v>
      </c>
      <c r="EJ30" s="12">
        <f t="shared" si="69"/>
        <v>116</v>
      </c>
      <c r="EK30" s="12">
        <f t="shared" si="70"/>
        <v>142</v>
      </c>
      <c r="EL30" s="12">
        <f t="shared" si="71"/>
        <v>134</v>
      </c>
      <c r="EM30" s="12">
        <f t="shared" si="72"/>
        <v>126</v>
      </c>
      <c r="EN30" s="12">
        <f t="shared" si="73"/>
        <v>124</v>
      </c>
      <c r="EO30" s="12">
        <f t="shared" si="74"/>
        <v>116</v>
      </c>
      <c r="EP30" s="12">
        <f t="shared" si="75"/>
        <v>106</v>
      </c>
      <c r="EQ30" s="12">
        <f t="shared" si="76"/>
        <v>98</v>
      </c>
      <c r="ER30" s="12">
        <f t="shared" si="77"/>
        <v>114</v>
      </c>
      <c r="ES30" s="12">
        <f t="shared" si="78"/>
        <v>96</v>
      </c>
      <c r="ET30" s="12">
        <f t="shared" si="79"/>
        <v>88</v>
      </c>
      <c r="EU30" s="12">
        <f t="shared" si="80"/>
        <v>86</v>
      </c>
      <c r="EV30" s="12">
        <f t="shared" si="81"/>
        <v>86</v>
      </c>
      <c r="EW30" s="12">
        <f t="shared" si="82"/>
        <v>66</v>
      </c>
      <c r="EX30" s="12">
        <f t="shared" si="83"/>
        <v>58</v>
      </c>
      <c r="EY30" s="12">
        <f t="shared" si="84"/>
        <v>38</v>
      </c>
      <c r="EZ30" s="12">
        <v>30</v>
      </c>
      <c r="FD30" s="12">
        <f>LARGE($FD$40:$FD$43,3)</f>
        <v>-7.01</v>
      </c>
      <c r="FE30" s="12" t="str">
        <f>VLOOKUP(FD30,$FD$40:$FE$43,2,0)</f>
        <v>Strikes 4</v>
      </c>
      <c r="FH30" s="12">
        <v>900000</v>
      </c>
      <c r="FI30" s="12">
        <v>28</v>
      </c>
      <c r="FJ30" s="12">
        <v>900000</v>
      </c>
    </row>
    <row r="31" spans="1:166" ht="13.35" customHeight="1" thickBot="1" x14ac:dyDescent="0.25">
      <c r="A31" s="21">
        <f t="shared" si="1"/>
        <v>30</v>
      </c>
      <c r="B31" s="22">
        <f t="shared" si="34"/>
        <v>-1</v>
      </c>
      <c r="C31" s="21">
        <f t="shared" si="2"/>
        <v>30</v>
      </c>
      <c r="E31" s="27" t="s">
        <v>608</v>
      </c>
      <c r="F31" s="28" t="s">
        <v>982</v>
      </c>
      <c r="G31" s="28" t="s">
        <v>982</v>
      </c>
      <c r="H31" s="28" t="s">
        <v>982</v>
      </c>
      <c r="I31" s="28" t="s">
        <v>976</v>
      </c>
      <c r="J31" s="28" t="s">
        <v>972</v>
      </c>
      <c r="K31" s="28" t="s">
        <v>975</v>
      </c>
      <c r="L31" s="28" t="s">
        <v>975</v>
      </c>
      <c r="M31" s="28" t="s">
        <v>975</v>
      </c>
      <c r="N31" s="28" t="s">
        <v>975</v>
      </c>
      <c r="O31" s="28" t="s">
        <v>975</v>
      </c>
      <c r="P31" s="28" t="s">
        <v>975</v>
      </c>
      <c r="Q31" s="28" t="s">
        <v>975</v>
      </c>
      <c r="R31" s="28" t="s">
        <v>975</v>
      </c>
      <c r="S31" s="28" t="s">
        <v>975</v>
      </c>
      <c r="T31" s="28" t="s">
        <v>972</v>
      </c>
      <c r="U31" s="28" t="s">
        <v>972</v>
      </c>
      <c r="V31" s="28" t="s">
        <v>972</v>
      </c>
      <c r="W31" s="28" t="s">
        <v>972</v>
      </c>
      <c r="X31" s="28" t="s">
        <v>972</v>
      </c>
      <c r="Y31" s="28" t="s">
        <v>972</v>
      </c>
      <c r="Z31" s="28"/>
      <c r="AA31" s="28" t="s">
        <v>975</v>
      </c>
      <c r="AB31" s="28" t="s">
        <v>975</v>
      </c>
      <c r="AC31" s="28" t="s">
        <v>973</v>
      </c>
      <c r="AD31" s="28" t="s">
        <v>973</v>
      </c>
      <c r="AE31" s="28"/>
      <c r="AF31" s="28" t="s">
        <v>975</v>
      </c>
      <c r="AG31" s="28" t="s">
        <v>975</v>
      </c>
      <c r="AH31" s="28" t="s">
        <v>972</v>
      </c>
      <c r="AI31" s="28"/>
      <c r="AJ31" s="28" t="s">
        <v>972</v>
      </c>
      <c r="AK31" s="28" t="s">
        <v>975</v>
      </c>
      <c r="AL31" s="28" t="s">
        <v>975</v>
      </c>
      <c r="AM31" s="28" t="s">
        <v>975</v>
      </c>
      <c r="AN31" s="28"/>
      <c r="AO31" s="28" t="s">
        <v>975</v>
      </c>
      <c r="AP31" s="28" t="s">
        <v>975</v>
      </c>
      <c r="AQ31" s="28" t="s">
        <v>972</v>
      </c>
      <c r="AR31" s="28"/>
      <c r="AS31" s="28" t="s">
        <v>975</v>
      </c>
      <c r="AT31" s="28" t="s">
        <v>975</v>
      </c>
      <c r="AU31" s="28" t="s">
        <v>975</v>
      </c>
      <c r="AV31" s="28" t="s">
        <v>975</v>
      </c>
      <c r="AW31" s="28" t="s">
        <v>975</v>
      </c>
      <c r="AX31" s="28" t="s">
        <v>975</v>
      </c>
      <c r="AY31" s="28" t="s">
        <v>975</v>
      </c>
      <c r="AZ31" s="28" t="s">
        <v>975</v>
      </c>
      <c r="BA31" s="28" t="s">
        <v>975</v>
      </c>
      <c r="BB31" s="28" t="s">
        <v>975</v>
      </c>
      <c r="BC31" s="28" t="s">
        <v>975</v>
      </c>
      <c r="BD31" s="28" t="s">
        <v>975</v>
      </c>
      <c r="BE31" s="28" t="s">
        <v>975</v>
      </c>
      <c r="BF31" s="28" t="s">
        <v>975</v>
      </c>
      <c r="BG31" s="28" t="s">
        <v>975</v>
      </c>
      <c r="BH31" s="28" t="s">
        <v>975</v>
      </c>
      <c r="BI31" s="28" t="s">
        <v>975</v>
      </c>
      <c r="BJ31" s="28" t="s">
        <v>975</v>
      </c>
      <c r="BK31" s="28" t="s">
        <v>975</v>
      </c>
      <c r="BL31" s="28" t="s">
        <v>975</v>
      </c>
      <c r="BM31" s="28" t="s">
        <v>975</v>
      </c>
      <c r="BN31" s="28" t="s">
        <v>975</v>
      </c>
      <c r="BO31" s="28" t="s">
        <v>975</v>
      </c>
      <c r="BP31" s="28" t="s">
        <v>975</v>
      </c>
      <c r="BQ31" s="28" t="s">
        <v>975</v>
      </c>
      <c r="BR31" s="28" t="s">
        <v>975</v>
      </c>
      <c r="BS31" s="28" t="s">
        <v>975</v>
      </c>
      <c r="BT31" s="28" t="s">
        <v>975</v>
      </c>
      <c r="BU31" s="28" t="s">
        <v>975</v>
      </c>
      <c r="BV31" s="28" t="s">
        <v>975</v>
      </c>
      <c r="BW31" s="28" t="s">
        <v>975</v>
      </c>
      <c r="BX31" s="28" t="s">
        <v>975</v>
      </c>
      <c r="BY31" s="28" t="s">
        <v>975</v>
      </c>
      <c r="BZ31" s="28" t="s">
        <v>975</v>
      </c>
      <c r="CA31" s="28" t="s">
        <v>975</v>
      </c>
      <c r="CB31" s="28" t="s">
        <v>975</v>
      </c>
      <c r="CC31" s="28" t="s">
        <v>975</v>
      </c>
      <c r="CD31" s="28" t="s">
        <v>975</v>
      </c>
      <c r="CE31" s="28" t="s">
        <v>975</v>
      </c>
      <c r="CF31" s="28" t="s">
        <v>975</v>
      </c>
      <c r="CG31" s="28" t="s">
        <v>975</v>
      </c>
      <c r="CH31" s="28" t="s">
        <v>975</v>
      </c>
      <c r="CI31" s="28" t="s">
        <v>975</v>
      </c>
      <c r="CJ31" s="28" t="s">
        <v>975</v>
      </c>
      <c r="CK31" s="28" t="s">
        <v>975</v>
      </c>
      <c r="CL31" s="28" t="s">
        <v>975</v>
      </c>
      <c r="CM31" s="28" t="s">
        <v>975</v>
      </c>
      <c r="CN31" s="28" t="s">
        <v>975</v>
      </c>
      <c r="CO31" s="28" t="s">
        <v>975</v>
      </c>
      <c r="CP31" s="28" t="s">
        <v>975</v>
      </c>
      <c r="CQ31" s="28" t="s">
        <v>975</v>
      </c>
      <c r="CR31" s="28"/>
      <c r="CS31" s="28" t="s">
        <v>987</v>
      </c>
      <c r="CT31" s="28" t="s">
        <v>982</v>
      </c>
      <c r="CU31" s="28" t="s">
        <v>977</v>
      </c>
      <c r="CV31" s="28" t="s">
        <v>982</v>
      </c>
      <c r="CW31" s="28"/>
      <c r="CX31" s="28" t="s">
        <v>972</v>
      </c>
      <c r="CY31" s="28" t="s">
        <v>975</v>
      </c>
      <c r="CZ31" s="28" t="s">
        <v>975</v>
      </c>
      <c r="DA31" s="28" t="s">
        <v>987</v>
      </c>
      <c r="DB31" s="28" t="s">
        <v>980</v>
      </c>
      <c r="DC31" s="28" t="s">
        <v>975</v>
      </c>
      <c r="DD31" s="28" t="s">
        <v>975</v>
      </c>
      <c r="DE31" s="28"/>
      <c r="DF31" s="12">
        <v>30</v>
      </c>
      <c r="DH31" s="94" t="s">
        <v>1136</v>
      </c>
      <c r="DI31" s="95" t="s">
        <v>4922</v>
      </c>
      <c r="DJ31" s="95" t="s">
        <v>1138</v>
      </c>
      <c r="DK31" s="95" t="s">
        <v>1139</v>
      </c>
      <c r="DL31" s="95" t="s">
        <v>1140</v>
      </c>
      <c r="DM31" s="95" t="s">
        <v>1141</v>
      </c>
      <c r="DN31" s="96" t="s">
        <v>286</v>
      </c>
      <c r="DQ31" s="35">
        <v>28</v>
      </c>
      <c r="DR31" s="21">
        <v>34</v>
      </c>
      <c r="DS31" s="21">
        <v>58</v>
      </c>
      <c r="DT31" s="32">
        <v>24</v>
      </c>
      <c r="DU31" s="21">
        <v>92</v>
      </c>
      <c r="DV31" s="31">
        <f t="shared" si="3"/>
        <v>126</v>
      </c>
      <c r="DW31" s="30">
        <f t="shared" si="6"/>
        <v>142</v>
      </c>
      <c r="DX31" s="36">
        <v>24</v>
      </c>
      <c r="DY31" s="23">
        <v>96</v>
      </c>
      <c r="DZ31" s="12">
        <v>29</v>
      </c>
      <c r="EA31" s="12">
        <f t="shared" si="60"/>
        <v>215</v>
      </c>
      <c r="EB31" s="12">
        <f t="shared" si="61"/>
        <v>185</v>
      </c>
      <c r="EC31" s="12">
        <f t="shared" si="62"/>
        <v>175</v>
      </c>
      <c r="ED31" s="12">
        <f t="shared" si="63"/>
        <v>156</v>
      </c>
      <c r="EE31" s="12">
        <f t="shared" si="64"/>
        <v>147</v>
      </c>
      <c r="EF31" s="12">
        <f t="shared" si="65"/>
        <v>147</v>
      </c>
      <c r="EG31" s="12">
        <f t="shared" si="66"/>
        <v>138</v>
      </c>
      <c r="EH31" s="12">
        <f t="shared" si="67"/>
        <v>137</v>
      </c>
      <c r="EI31" s="12">
        <f t="shared" si="68"/>
        <v>128</v>
      </c>
      <c r="EJ31" s="12">
        <f t="shared" si="69"/>
        <v>118</v>
      </c>
      <c r="EK31" s="12">
        <f t="shared" si="70"/>
        <v>146</v>
      </c>
      <c r="EL31" s="12">
        <f t="shared" si="71"/>
        <v>137</v>
      </c>
      <c r="EM31" s="12">
        <f t="shared" si="72"/>
        <v>128</v>
      </c>
      <c r="EN31" s="12">
        <f t="shared" si="73"/>
        <v>127</v>
      </c>
      <c r="EO31" s="12">
        <f t="shared" si="74"/>
        <v>118</v>
      </c>
      <c r="EP31" s="12">
        <f t="shared" si="75"/>
        <v>108</v>
      </c>
      <c r="EQ31" s="12">
        <f t="shared" si="76"/>
        <v>99</v>
      </c>
      <c r="ER31" s="12">
        <f t="shared" si="77"/>
        <v>117</v>
      </c>
      <c r="ES31" s="12">
        <f t="shared" si="78"/>
        <v>98</v>
      </c>
      <c r="ET31" s="12">
        <f t="shared" si="79"/>
        <v>89</v>
      </c>
      <c r="EU31" s="12">
        <f t="shared" si="80"/>
        <v>88</v>
      </c>
      <c r="EV31" s="12">
        <f t="shared" si="81"/>
        <v>88</v>
      </c>
      <c r="EW31" s="12">
        <f t="shared" si="82"/>
        <v>68</v>
      </c>
      <c r="EX31" s="12">
        <f t="shared" si="83"/>
        <v>59</v>
      </c>
      <c r="EY31" s="12">
        <f t="shared" si="84"/>
        <v>39</v>
      </c>
      <c r="EZ31" s="12">
        <v>31</v>
      </c>
      <c r="FD31" s="12">
        <f>LARGE($FD$40:$FD$43,4)</f>
        <v>-7.01</v>
      </c>
      <c r="FE31" s="12" t="str">
        <f>VLOOKUP(FD31,$FD$40:$FE$43,2,0)</f>
        <v>Strikes 4</v>
      </c>
      <c r="FH31" s="12">
        <v>950000</v>
      </c>
      <c r="FI31" s="12">
        <v>29</v>
      </c>
      <c r="FJ31" s="12">
        <v>950000</v>
      </c>
    </row>
    <row r="32" spans="1:166" ht="13.35" customHeight="1" thickBot="1" x14ac:dyDescent="0.25">
      <c r="A32" s="21">
        <f t="shared" si="1"/>
        <v>31</v>
      </c>
      <c r="B32" s="21">
        <v>0</v>
      </c>
      <c r="C32" s="21">
        <f t="shared" si="2"/>
        <v>31</v>
      </c>
      <c r="E32" s="27" t="s">
        <v>1041</v>
      </c>
      <c r="F32" s="28" t="s">
        <v>1012</v>
      </c>
      <c r="G32" s="28" t="s">
        <v>1012</v>
      </c>
      <c r="H32" s="28" t="s">
        <v>1012</v>
      </c>
      <c r="I32" s="28" t="s">
        <v>1012</v>
      </c>
      <c r="J32" s="28" t="s">
        <v>969</v>
      </c>
      <c r="K32" s="28" t="s">
        <v>1013</v>
      </c>
      <c r="L32" s="28" t="s">
        <v>1013</v>
      </c>
      <c r="M32" s="28" t="s">
        <v>1019</v>
      </c>
      <c r="N32" s="28" t="s">
        <v>1013</v>
      </c>
      <c r="O32" s="28" t="s">
        <v>1013</v>
      </c>
      <c r="P32" s="28" t="s">
        <v>1013</v>
      </c>
      <c r="Q32" s="28" t="s">
        <v>1013</v>
      </c>
      <c r="R32" s="28" t="s">
        <v>1013</v>
      </c>
      <c r="S32" s="28" t="s">
        <v>1013</v>
      </c>
      <c r="T32" s="28" t="s">
        <v>969</v>
      </c>
      <c r="U32" s="28" t="s">
        <v>969</v>
      </c>
      <c r="V32" s="28" t="s">
        <v>969</v>
      </c>
      <c r="W32" s="28" t="s">
        <v>969</v>
      </c>
      <c r="X32" s="28" t="s">
        <v>969</v>
      </c>
      <c r="Y32" s="28" t="s">
        <v>969</v>
      </c>
      <c r="Z32" s="28"/>
      <c r="AA32" s="28" t="s">
        <v>1019</v>
      </c>
      <c r="AB32" s="28" t="s">
        <v>1019</v>
      </c>
      <c r="AC32" s="28" t="s">
        <v>1013</v>
      </c>
      <c r="AD32" s="28" t="s">
        <v>969</v>
      </c>
      <c r="AE32" s="28"/>
      <c r="AF32" s="28" t="s">
        <v>1013</v>
      </c>
      <c r="AG32" s="28" t="s">
        <v>1013</v>
      </c>
      <c r="AH32" s="28" t="s">
        <v>969</v>
      </c>
      <c r="AI32" s="28"/>
      <c r="AJ32" s="28" t="s">
        <v>969</v>
      </c>
      <c r="AK32" s="28" t="s">
        <v>1013</v>
      </c>
      <c r="AL32" s="28" t="s">
        <v>1013</v>
      </c>
      <c r="AM32" s="28" t="s">
        <v>1013</v>
      </c>
      <c r="AN32" s="28"/>
      <c r="AO32" s="28" t="s">
        <v>1013</v>
      </c>
      <c r="AP32" s="28" t="s">
        <v>1013</v>
      </c>
      <c r="AQ32" s="28" t="s">
        <v>969</v>
      </c>
      <c r="AR32" s="28"/>
      <c r="AS32" s="28" t="s">
        <v>1013</v>
      </c>
      <c r="AT32" s="28" t="s">
        <v>1013</v>
      </c>
      <c r="AU32" s="28" t="s">
        <v>1013</v>
      </c>
      <c r="AV32" s="28" t="s">
        <v>1013</v>
      </c>
      <c r="AW32" s="28" t="s">
        <v>1013</v>
      </c>
      <c r="AX32" s="28" t="s">
        <v>1013</v>
      </c>
      <c r="AY32" s="28" t="s">
        <v>1013</v>
      </c>
      <c r="AZ32" s="28" t="s">
        <v>1013</v>
      </c>
      <c r="BA32" s="28" t="s">
        <v>1013</v>
      </c>
      <c r="BB32" s="28" t="s">
        <v>1013</v>
      </c>
      <c r="BC32" s="28" t="s">
        <v>1013</v>
      </c>
      <c r="BD32" s="28" t="s">
        <v>1013</v>
      </c>
      <c r="BE32" s="28" t="s">
        <v>1013</v>
      </c>
      <c r="BF32" s="28" t="s">
        <v>1013</v>
      </c>
      <c r="BG32" s="28" t="s">
        <v>1013</v>
      </c>
      <c r="BH32" s="28" t="s">
        <v>1013</v>
      </c>
      <c r="BI32" s="28" t="s">
        <v>1013</v>
      </c>
      <c r="BJ32" s="28" t="s">
        <v>1013</v>
      </c>
      <c r="BK32" s="28" t="s">
        <v>1013</v>
      </c>
      <c r="BL32" s="28" t="s">
        <v>1013</v>
      </c>
      <c r="BM32" s="28" t="s">
        <v>1013</v>
      </c>
      <c r="BN32" s="28" t="s">
        <v>1013</v>
      </c>
      <c r="BO32" s="28" t="s">
        <v>1013</v>
      </c>
      <c r="BP32" s="28" t="s">
        <v>1013</v>
      </c>
      <c r="BQ32" s="28" t="s">
        <v>1013</v>
      </c>
      <c r="BR32" s="28" t="s">
        <v>1013</v>
      </c>
      <c r="BS32" s="28" t="s">
        <v>1013</v>
      </c>
      <c r="BT32" s="28" t="s">
        <v>1013</v>
      </c>
      <c r="BU32" s="28" t="s">
        <v>1013</v>
      </c>
      <c r="BV32" s="28" t="s">
        <v>1013</v>
      </c>
      <c r="BW32" s="28" t="s">
        <v>1013</v>
      </c>
      <c r="BX32" s="28" t="s">
        <v>1013</v>
      </c>
      <c r="BY32" s="28" t="s">
        <v>1013</v>
      </c>
      <c r="BZ32" s="28" t="s">
        <v>1013</v>
      </c>
      <c r="CA32" s="28" t="s">
        <v>1013</v>
      </c>
      <c r="CB32" s="28" t="s">
        <v>1013</v>
      </c>
      <c r="CC32" s="28" t="s">
        <v>1013</v>
      </c>
      <c r="CD32" s="28" t="s">
        <v>1013</v>
      </c>
      <c r="CE32" s="28" t="s">
        <v>1013</v>
      </c>
      <c r="CF32" s="28" t="s">
        <v>1013</v>
      </c>
      <c r="CG32" s="28" t="s">
        <v>1013</v>
      </c>
      <c r="CH32" s="28" t="s">
        <v>1013</v>
      </c>
      <c r="CI32" s="28" t="s">
        <v>1013</v>
      </c>
      <c r="CJ32" s="28" t="s">
        <v>1013</v>
      </c>
      <c r="CK32" s="28" t="s">
        <v>1013</v>
      </c>
      <c r="CL32" s="28" t="s">
        <v>1013</v>
      </c>
      <c r="CM32" s="28" t="s">
        <v>1013</v>
      </c>
      <c r="CN32" s="28" t="s">
        <v>1013</v>
      </c>
      <c r="CO32" s="28" t="s">
        <v>1013</v>
      </c>
      <c r="CP32" s="28" t="s">
        <v>1013</v>
      </c>
      <c r="CQ32" s="28" t="s">
        <v>1013</v>
      </c>
      <c r="CR32" s="28"/>
      <c r="CS32" s="28" t="s">
        <v>1011</v>
      </c>
      <c r="CT32" s="28" t="s">
        <v>1012</v>
      </c>
      <c r="CU32" s="28" t="s">
        <v>1010</v>
      </c>
      <c r="CV32" s="28" t="s">
        <v>1012</v>
      </c>
      <c r="CW32" s="28"/>
      <c r="CX32" s="28" t="s">
        <v>969</v>
      </c>
      <c r="CY32" s="28" t="s">
        <v>1013</v>
      </c>
      <c r="CZ32" s="28" t="s">
        <v>1013</v>
      </c>
      <c r="DA32" s="28" t="s">
        <v>1011</v>
      </c>
      <c r="DB32" s="28" t="s">
        <v>987</v>
      </c>
      <c r="DC32" s="28" t="s">
        <v>1013</v>
      </c>
      <c r="DD32" s="28" t="s">
        <v>1013</v>
      </c>
      <c r="DE32" s="28"/>
      <c r="DF32" s="12">
        <v>31</v>
      </c>
      <c r="DH32" s="97">
        <v>1</v>
      </c>
      <c r="DI32" s="12" t="s">
        <v>1149</v>
      </c>
      <c r="DJ32" s="43">
        <v>0</v>
      </c>
      <c r="DK32" s="12">
        <v>0</v>
      </c>
      <c r="DL32" s="12">
        <v>0</v>
      </c>
      <c r="DM32" s="12">
        <v>0</v>
      </c>
      <c r="DN32" s="98">
        <v>0</v>
      </c>
      <c r="DQ32" s="35">
        <v>29</v>
      </c>
      <c r="DR32" s="21">
        <v>35</v>
      </c>
      <c r="DS32" s="21">
        <v>59</v>
      </c>
      <c r="DT32" s="32">
        <v>25</v>
      </c>
      <c r="DU32" s="21">
        <v>94</v>
      </c>
      <c r="DV32" s="31">
        <f t="shared" si="3"/>
        <v>128</v>
      </c>
      <c r="DW32" s="30">
        <f t="shared" si="6"/>
        <v>146</v>
      </c>
      <c r="DX32" s="36">
        <v>25</v>
      </c>
      <c r="DY32" s="23">
        <v>98</v>
      </c>
      <c r="DZ32" s="20">
        <v>30</v>
      </c>
      <c r="EA32" s="12">
        <f t="shared" si="60"/>
        <v>220</v>
      </c>
      <c r="EB32" s="78">
        <f t="shared" si="61"/>
        <v>190</v>
      </c>
      <c r="EC32" s="78">
        <f t="shared" si="62"/>
        <v>180</v>
      </c>
      <c r="ED32" s="78">
        <f t="shared" si="63"/>
        <v>160</v>
      </c>
      <c r="EE32" s="78">
        <f t="shared" si="64"/>
        <v>150</v>
      </c>
      <c r="EF32" s="78">
        <f t="shared" si="65"/>
        <v>150</v>
      </c>
      <c r="EG32" s="78">
        <f t="shared" si="66"/>
        <v>140</v>
      </c>
      <c r="EH32" s="78">
        <f t="shared" si="67"/>
        <v>140</v>
      </c>
      <c r="EI32" s="78">
        <f t="shared" si="68"/>
        <v>130</v>
      </c>
      <c r="EJ32" s="78">
        <f t="shared" si="69"/>
        <v>120</v>
      </c>
      <c r="EK32" s="78">
        <f t="shared" si="70"/>
        <v>150</v>
      </c>
      <c r="EL32" s="78">
        <f t="shared" si="71"/>
        <v>140</v>
      </c>
      <c r="EM32" s="78">
        <f t="shared" si="72"/>
        <v>130</v>
      </c>
      <c r="EN32" s="78">
        <f t="shared" si="73"/>
        <v>130</v>
      </c>
      <c r="EO32" s="78">
        <f t="shared" si="74"/>
        <v>120</v>
      </c>
      <c r="EP32" s="78">
        <f t="shared" si="75"/>
        <v>110</v>
      </c>
      <c r="EQ32" s="78">
        <f t="shared" si="76"/>
        <v>100</v>
      </c>
      <c r="ER32" s="78">
        <f t="shared" si="77"/>
        <v>120</v>
      </c>
      <c r="ES32" s="78">
        <f t="shared" si="78"/>
        <v>100</v>
      </c>
      <c r="ET32" s="78">
        <f t="shared" si="79"/>
        <v>90</v>
      </c>
      <c r="EU32" s="78">
        <f t="shared" si="80"/>
        <v>90</v>
      </c>
      <c r="EV32" s="78">
        <f t="shared" si="81"/>
        <v>90</v>
      </c>
      <c r="EW32" s="78">
        <f t="shared" si="82"/>
        <v>70</v>
      </c>
      <c r="EX32" s="78">
        <f t="shared" si="83"/>
        <v>60</v>
      </c>
      <c r="EY32" s="78">
        <f t="shared" si="84"/>
        <v>40</v>
      </c>
      <c r="EZ32" s="20">
        <v>32</v>
      </c>
      <c r="FD32" s="12">
        <f>Skills!K91</f>
        <v>-3.009999999999998</v>
      </c>
      <c r="FE32" s="12" t="str">
        <f>Skills!B91</f>
        <v>Two-Weapon Fighting</v>
      </c>
      <c r="FH32" s="12">
        <v>1000000</v>
      </c>
      <c r="FI32" s="12">
        <v>30</v>
      </c>
      <c r="FJ32" s="12">
        <v>1000000</v>
      </c>
    </row>
    <row r="33" spans="1:166" ht="13.35" customHeight="1" thickBot="1" x14ac:dyDescent="0.25">
      <c r="A33" s="21">
        <f t="shared" si="1"/>
        <v>32</v>
      </c>
      <c r="B33" s="21">
        <v>0</v>
      </c>
      <c r="C33" s="21">
        <f t="shared" si="2"/>
        <v>32</v>
      </c>
      <c r="E33" s="27" t="s">
        <v>618</v>
      </c>
      <c r="F33" s="28" t="s">
        <v>976</v>
      </c>
      <c r="G33" s="28" t="s">
        <v>976</v>
      </c>
      <c r="H33" s="28" t="s">
        <v>976</v>
      </c>
      <c r="I33" s="28" t="s">
        <v>980</v>
      </c>
      <c r="J33" s="28" t="s">
        <v>991</v>
      </c>
      <c r="K33" s="28" t="s">
        <v>983</v>
      </c>
      <c r="L33" s="28" t="s">
        <v>983</v>
      </c>
      <c r="M33" s="28" t="s">
        <v>985</v>
      </c>
      <c r="N33" s="28" t="s">
        <v>985</v>
      </c>
      <c r="O33" s="28" t="s">
        <v>990</v>
      </c>
      <c r="P33" s="28" t="s">
        <v>990</v>
      </c>
      <c r="Q33" s="28" t="s">
        <v>991</v>
      </c>
      <c r="R33" s="28" t="s">
        <v>985</v>
      </c>
      <c r="S33" s="28" t="s">
        <v>985</v>
      </c>
      <c r="T33" s="28" t="s">
        <v>991</v>
      </c>
      <c r="U33" s="28" t="s">
        <v>991</v>
      </c>
      <c r="V33" s="28" t="s">
        <v>973</v>
      </c>
      <c r="W33" s="28" t="s">
        <v>991</v>
      </c>
      <c r="X33" s="28" t="s">
        <v>991</v>
      </c>
      <c r="Y33" s="28" t="s">
        <v>976</v>
      </c>
      <c r="Z33" s="28"/>
      <c r="AA33" s="28" t="s">
        <v>1009</v>
      </c>
      <c r="AB33" s="28" t="s">
        <v>985</v>
      </c>
      <c r="AC33" s="28" t="s">
        <v>983</v>
      </c>
      <c r="AD33" s="28" t="s">
        <v>976</v>
      </c>
      <c r="AE33" s="28"/>
      <c r="AF33" s="28" t="s">
        <v>983</v>
      </c>
      <c r="AG33" s="28" t="s">
        <v>983</v>
      </c>
      <c r="AH33" s="28" t="s">
        <v>991</v>
      </c>
      <c r="AI33" s="28"/>
      <c r="AJ33" s="28" t="s">
        <v>991</v>
      </c>
      <c r="AK33" s="28" t="s">
        <v>985</v>
      </c>
      <c r="AL33" s="28" t="s">
        <v>990</v>
      </c>
      <c r="AM33" s="28" t="s">
        <v>985</v>
      </c>
      <c r="AN33" s="28"/>
      <c r="AO33" s="28" t="s">
        <v>983</v>
      </c>
      <c r="AP33" s="28" t="s">
        <v>985</v>
      </c>
      <c r="AQ33" s="28" t="s">
        <v>976</v>
      </c>
      <c r="AR33" s="28"/>
      <c r="AS33" s="28" t="s">
        <v>985</v>
      </c>
      <c r="AT33" s="28" t="s">
        <v>985</v>
      </c>
      <c r="AU33" s="28" t="s">
        <v>985</v>
      </c>
      <c r="AV33" s="28" t="s">
        <v>985</v>
      </c>
      <c r="AW33" s="28" t="s">
        <v>985</v>
      </c>
      <c r="AX33" s="28" t="s">
        <v>985</v>
      </c>
      <c r="AY33" s="28" t="s">
        <v>985</v>
      </c>
      <c r="AZ33" s="28" t="s">
        <v>985</v>
      </c>
      <c r="BA33" s="28" t="s">
        <v>985</v>
      </c>
      <c r="BB33" s="28" t="s">
        <v>985</v>
      </c>
      <c r="BC33" s="28" t="s">
        <v>985</v>
      </c>
      <c r="BD33" s="28" t="s">
        <v>985</v>
      </c>
      <c r="BE33" s="28" t="s">
        <v>985</v>
      </c>
      <c r="BF33" s="28" t="s">
        <v>985</v>
      </c>
      <c r="BG33" s="28" t="s">
        <v>985</v>
      </c>
      <c r="BH33" s="28" t="s">
        <v>985</v>
      </c>
      <c r="BI33" s="28" t="s">
        <v>985</v>
      </c>
      <c r="BJ33" s="28" t="s">
        <v>985</v>
      </c>
      <c r="BK33" s="28" t="s">
        <v>985</v>
      </c>
      <c r="BL33" s="28" t="s">
        <v>985</v>
      </c>
      <c r="BM33" s="28" t="s">
        <v>985</v>
      </c>
      <c r="BN33" s="28" t="s">
        <v>985</v>
      </c>
      <c r="BO33" s="28" t="s">
        <v>985</v>
      </c>
      <c r="BP33" s="28" t="s">
        <v>985</v>
      </c>
      <c r="BQ33" s="28" t="s">
        <v>985</v>
      </c>
      <c r="BR33" s="28" t="s">
        <v>985</v>
      </c>
      <c r="BS33" s="28" t="s">
        <v>985</v>
      </c>
      <c r="BT33" s="28" t="s">
        <v>985</v>
      </c>
      <c r="BU33" s="28" t="s">
        <v>985</v>
      </c>
      <c r="BV33" s="28" t="s">
        <v>985</v>
      </c>
      <c r="BW33" s="28" t="s">
        <v>985</v>
      </c>
      <c r="BX33" s="28" t="s">
        <v>985</v>
      </c>
      <c r="BY33" s="28" t="s">
        <v>985</v>
      </c>
      <c r="BZ33" s="28" t="s">
        <v>985</v>
      </c>
      <c r="CA33" s="28" t="s">
        <v>985</v>
      </c>
      <c r="CB33" s="28" t="s">
        <v>985</v>
      </c>
      <c r="CC33" s="28" t="s">
        <v>985</v>
      </c>
      <c r="CD33" s="28" t="s">
        <v>985</v>
      </c>
      <c r="CE33" s="28" t="s">
        <v>985</v>
      </c>
      <c r="CF33" s="28" t="s">
        <v>985</v>
      </c>
      <c r="CG33" s="28" t="s">
        <v>985</v>
      </c>
      <c r="CH33" s="28" t="s">
        <v>985</v>
      </c>
      <c r="CI33" s="28" t="s">
        <v>985</v>
      </c>
      <c r="CJ33" s="28" t="s">
        <v>985</v>
      </c>
      <c r="CK33" s="28" t="s">
        <v>985</v>
      </c>
      <c r="CL33" s="28" t="s">
        <v>985</v>
      </c>
      <c r="CM33" s="28" t="s">
        <v>985</v>
      </c>
      <c r="CN33" s="28" t="s">
        <v>985</v>
      </c>
      <c r="CO33" s="28" t="s">
        <v>985</v>
      </c>
      <c r="CP33" s="28" t="s">
        <v>985</v>
      </c>
      <c r="CQ33" s="28" t="s">
        <v>985</v>
      </c>
      <c r="CR33" s="28"/>
      <c r="CS33" s="28" t="s">
        <v>991</v>
      </c>
      <c r="CT33" s="28" t="s">
        <v>976</v>
      </c>
      <c r="CU33" s="28" t="s">
        <v>990</v>
      </c>
      <c r="CV33" s="28" t="s">
        <v>972</v>
      </c>
      <c r="CW33" s="28"/>
      <c r="CX33" s="28" t="s">
        <v>991</v>
      </c>
      <c r="CY33" s="28" t="s">
        <v>985</v>
      </c>
      <c r="CZ33" s="28" t="s">
        <v>985</v>
      </c>
      <c r="DA33" s="28" t="s">
        <v>991</v>
      </c>
      <c r="DB33" s="28" t="s">
        <v>983</v>
      </c>
      <c r="DC33" s="28" t="s">
        <v>985</v>
      </c>
      <c r="DD33" s="28" t="s">
        <v>988</v>
      </c>
      <c r="DE33" s="28"/>
      <c r="DF33" s="12">
        <v>32</v>
      </c>
      <c r="DH33" s="97">
        <v>2</v>
      </c>
      <c r="DI33" s="12" t="s">
        <v>1173</v>
      </c>
      <c r="DJ33" s="43">
        <v>0</v>
      </c>
      <c r="DK33" s="12">
        <v>0</v>
      </c>
      <c r="DL33" s="12">
        <v>0</v>
      </c>
      <c r="DM33" s="12">
        <v>0</v>
      </c>
      <c r="DN33" s="98">
        <v>0</v>
      </c>
      <c r="DQ33" s="35">
        <v>30</v>
      </c>
      <c r="DR33" s="21">
        <v>35</v>
      </c>
      <c r="DS33" s="21">
        <v>60</v>
      </c>
      <c r="DT33" s="32">
        <v>25</v>
      </c>
      <c r="DU33" s="21">
        <v>95</v>
      </c>
      <c r="DV33" s="31">
        <f t="shared" si="3"/>
        <v>130</v>
      </c>
      <c r="DW33" s="30">
        <f t="shared" si="6"/>
        <v>150</v>
      </c>
      <c r="DX33" s="36">
        <v>25</v>
      </c>
      <c r="DY33" s="23">
        <v>100</v>
      </c>
      <c r="DZ33" s="12">
        <v>31</v>
      </c>
      <c r="EA33" s="12">
        <f>EA32+3</f>
        <v>223</v>
      </c>
      <c r="EB33" s="12">
        <f>EB32+4</f>
        <v>194</v>
      </c>
      <c r="EC33" s="12">
        <f>EC32+4</f>
        <v>184</v>
      </c>
      <c r="ED33" s="12">
        <f>ED32+3</f>
        <v>163</v>
      </c>
      <c r="EE33" s="12">
        <f>EE32+2</f>
        <v>152</v>
      </c>
      <c r="EF33" s="12">
        <f>EF32+1</f>
        <v>151</v>
      </c>
      <c r="EG33" s="12">
        <f>EG32+1</f>
        <v>141</v>
      </c>
      <c r="EH33" s="12">
        <f>EH32+1</f>
        <v>141</v>
      </c>
      <c r="EI33" s="12">
        <f>EI32+1</f>
        <v>131</v>
      </c>
      <c r="EJ33" s="12">
        <f>EJ32+1</f>
        <v>121</v>
      </c>
      <c r="EK33" s="12">
        <f>EK32+3</f>
        <v>153</v>
      </c>
      <c r="EL33" s="12">
        <f>EL32+1</f>
        <v>141</v>
      </c>
      <c r="EM33" s="12">
        <f>EM32+1</f>
        <v>131</v>
      </c>
      <c r="EN33" s="12">
        <f>EN32+2</f>
        <v>132</v>
      </c>
      <c r="EO33" s="12">
        <f>EO32+1</f>
        <v>121</v>
      </c>
      <c r="EP33" s="12">
        <f>EP32+1</f>
        <v>111</v>
      </c>
      <c r="EQ33" s="12">
        <f>EQ32+1</f>
        <v>101</v>
      </c>
      <c r="ER33" s="12">
        <f>ER32+2</f>
        <v>122</v>
      </c>
      <c r="ES33" s="12">
        <f>ES32+2</f>
        <v>102</v>
      </c>
      <c r="ET33" s="12">
        <f>ET32+1</f>
        <v>91</v>
      </c>
      <c r="EU33" s="12">
        <f>EU32+2</f>
        <v>92</v>
      </c>
      <c r="EV33" s="12">
        <f>EV32+1</f>
        <v>91</v>
      </c>
      <c r="EW33" s="12">
        <f>EW32+1</f>
        <v>71</v>
      </c>
      <c r="EX33" s="12">
        <f>EX32+1</f>
        <v>61</v>
      </c>
      <c r="EY33" s="12">
        <f>EY32+1</f>
        <v>41</v>
      </c>
      <c r="EZ33" s="12">
        <v>33</v>
      </c>
      <c r="FH33" s="12">
        <v>1050000</v>
      </c>
      <c r="FI33" s="12">
        <v>31</v>
      </c>
      <c r="FJ33" s="12">
        <v>1050000</v>
      </c>
    </row>
    <row r="34" spans="1:166" ht="13.35" customHeight="1" thickBot="1" x14ac:dyDescent="0.25">
      <c r="A34" s="21">
        <f t="shared" si="1"/>
        <v>33</v>
      </c>
      <c r="B34" s="21">
        <v>0</v>
      </c>
      <c r="C34" s="21">
        <f t="shared" si="2"/>
        <v>33</v>
      </c>
      <c r="E34" s="27" t="s">
        <v>635</v>
      </c>
      <c r="F34" s="28" t="s">
        <v>976</v>
      </c>
      <c r="G34" s="28" t="s">
        <v>1044</v>
      </c>
      <c r="H34" s="28" t="s">
        <v>991</v>
      </c>
      <c r="I34" s="28" t="s">
        <v>1002</v>
      </c>
      <c r="J34" s="28" t="s">
        <v>1045</v>
      </c>
      <c r="K34" s="28" t="s">
        <v>1011</v>
      </c>
      <c r="L34" s="28" t="s">
        <v>1011</v>
      </c>
      <c r="M34" s="28" t="s">
        <v>911</v>
      </c>
      <c r="N34" s="28" t="s">
        <v>911</v>
      </c>
      <c r="O34" s="28" t="s">
        <v>1012</v>
      </c>
      <c r="P34" s="28" t="s">
        <v>1012</v>
      </c>
      <c r="Q34" s="28" t="s">
        <v>1011</v>
      </c>
      <c r="R34" s="28" t="s">
        <v>1011</v>
      </c>
      <c r="S34" s="28" t="s">
        <v>1011</v>
      </c>
      <c r="T34" s="28" t="s">
        <v>988</v>
      </c>
      <c r="U34" s="28" t="s">
        <v>1044</v>
      </c>
      <c r="V34" s="28" t="s">
        <v>985</v>
      </c>
      <c r="W34" s="28" t="s">
        <v>983</v>
      </c>
      <c r="X34" s="28" t="s">
        <v>983</v>
      </c>
      <c r="Y34" s="28" t="s">
        <v>986</v>
      </c>
      <c r="Z34" s="28"/>
      <c r="AA34" s="28" t="s">
        <v>1017</v>
      </c>
      <c r="AB34" s="28" t="s">
        <v>1017</v>
      </c>
      <c r="AC34" s="28" t="s">
        <v>969</v>
      </c>
      <c r="AD34" s="28" t="s">
        <v>989</v>
      </c>
      <c r="AE34" s="28"/>
      <c r="AF34" s="28" t="s">
        <v>1011</v>
      </c>
      <c r="AG34" s="28" t="s">
        <v>1011</v>
      </c>
      <c r="AH34" s="28" t="s">
        <v>1019</v>
      </c>
      <c r="AI34" s="28"/>
      <c r="AJ34" s="28" t="s">
        <v>1044</v>
      </c>
      <c r="AK34" s="28" t="s">
        <v>1011</v>
      </c>
      <c r="AL34" s="28" t="s">
        <v>1018</v>
      </c>
      <c r="AM34" s="28" t="s">
        <v>1011</v>
      </c>
      <c r="AN34" s="28"/>
      <c r="AO34" s="28" t="s">
        <v>1011</v>
      </c>
      <c r="AP34" s="28" t="s">
        <v>1018</v>
      </c>
      <c r="AQ34" s="28" t="s">
        <v>1044</v>
      </c>
      <c r="AR34" s="28"/>
      <c r="AS34" s="28" t="s">
        <v>912</v>
      </c>
      <c r="AT34" s="28" t="s">
        <v>912</v>
      </c>
      <c r="AU34" s="28" t="s">
        <v>912</v>
      </c>
      <c r="AV34" s="28" t="s">
        <v>912</v>
      </c>
      <c r="AW34" s="28" t="s">
        <v>912</v>
      </c>
      <c r="AX34" s="28" t="s">
        <v>912</v>
      </c>
      <c r="AY34" s="28" t="s">
        <v>912</v>
      </c>
      <c r="AZ34" s="28" t="s">
        <v>912</v>
      </c>
      <c r="BA34" s="28" t="s">
        <v>912</v>
      </c>
      <c r="BB34" s="28" t="s">
        <v>912</v>
      </c>
      <c r="BC34" s="28" t="s">
        <v>912</v>
      </c>
      <c r="BD34" s="28" t="s">
        <v>912</v>
      </c>
      <c r="BE34" s="28" t="s">
        <v>912</v>
      </c>
      <c r="BF34" s="28" t="s">
        <v>912</v>
      </c>
      <c r="BG34" s="28" t="s">
        <v>912</v>
      </c>
      <c r="BH34" s="28" t="s">
        <v>912</v>
      </c>
      <c r="BI34" s="28" t="s">
        <v>912</v>
      </c>
      <c r="BJ34" s="28" t="s">
        <v>912</v>
      </c>
      <c r="BK34" s="28" t="s">
        <v>912</v>
      </c>
      <c r="BL34" s="28" t="s">
        <v>912</v>
      </c>
      <c r="BM34" s="28" t="s">
        <v>912</v>
      </c>
      <c r="BN34" s="28" t="s">
        <v>912</v>
      </c>
      <c r="BO34" s="28" t="s">
        <v>912</v>
      </c>
      <c r="BP34" s="28" t="s">
        <v>912</v>
      </c>
      <c r="BQ34" s="28" t="s">
        <v>912</v>
      </c>
      <c r="BR34" s="28" t="s">
        <v>912</v>
      </c>
      <c r="BS34" s="28" t="s">
        <v>912</v>
      </c>
      <c r="BT34" s="28" t="s">
        <v>912</v>
      </c>
      <c r="BU34" s="28" t="s">
        <v>912</v>
      </c>
      <c r="BV34" s="28" t="s">
        <v>912</v>
      </c>
      <c r="BW34" s="28" t="s">
        <v>912</v>
      </c>
      <c r="BX34" s="28" t="s">
        <v>912</v>
      </c>
      <c r="BY34" s="28" t="s">
        <v>912</v>
      </c>
      <c r="BZ34" s="28" t="s">
        <v>912</v>
      </c>
      <c r="CA34" s="28" t="s">
        <v>912</v>
      </c>
      <c r="CB34" s="28" t="s">
        <v>912</v>
      </c>
      <c r="CC34" s="28" t="s">
        <v>912</v>
      </c>
      <c r="CD34" s="28" t="s">
        <v>912</v>
      </c>
      <c r="CE34" s="28" t="s">
        <v>912</v>
      </c>
      <c r="CF34" s="28" t="s">
        <v>912</v>
      </c>
      <c r="CG34" s="28" t="s">
        <v>912</v>
      </c>
      <c r="CH34" s="28" t="s">
        <v>912</v>
      </c>
      <c r="CI34" s="28" t="s">
        <v>912</v>
      </c>
      <c r="CJ34" s="28" t="s">
        <v>912</v>
      </c>
      <c r="CK34" s="28" t="s">
        <v>912</v>
      </c>
      <c r="CL34" s="28" t="s">
        <v>912</v>
      </c>
      <c r="CM34" s="28" t="s">
        <v>912</v>
      </c>
      <c r="CN34" s="28" t="s">
        <v>912</v>
      </c>
      <c r="CO34" s="28" t="s">
        <v>912</v>
      </c>
      <c r="CP34" s="28" t="s">
        <v>912</v>
      </c>
      <c r="CQ34" s="28" t="s">
        <v>912</v>
      </c>
      <c r="CR34" s="28"/>
      <c r="CS34" s="28" t="s">
        <v>991</v>
      </c>
      <c r="CT34" s="28" t="s">
        <v>1044</v>
      </c>
      <c r="CU34" s="28" t="s">
        <v>911</v>
      </c>
      <c r="CV34" s="28" t="s">
        <v>972</v>
      </c>
      <c r="CW34" s="28"/>
      <c r="CX34" s="28" t="s">
        <v>988</v>
      </c>
      <c r="CY34" s="28" t="s">
        <v>911</v>
      </c>
      <c r="CZ34" s="28" t="s">
        <v>911</v>
      </c>
      <c r="DA34" s="28" t="s">
        <v>991</v>
      </c>
      <c r="DB34" s="28" t="s">
        <v>1011</v>
      </c>
      <c r="DC34" s="28" t="s">
        <v>911</v>
      </c>
      <c r="DD34" s="28" t="s">
        <v>1012</v>
      </c>
      <c r="DE34" s="28"/>
      <c r="DF34" s="12">
        <v>33</v>
      </c>
      <c r="DH34" s="97">
        <v>3</v>
      </c>
      <c r="DI34" s="12" t="s">
        <v>1189</v>
      </c>
      <c r="DJ34" s="43">
        <v>0</v>
      </c>
      <c r="DK34" s="12">
        <v>0</v>
      </c>
      <c r="DL34" s="12">
        <v>0</v>
      </c>
      <c r="DM34" s="12">
        <v>0</v>
      </c>
      <c r="DN34" s="98">
        <v>0</v>
      </c>
      <c r="DQ34" s="35">
        <v>31</v>
      </c>
      <c r="DR34" s="21">
        <v>36</v>
      </c>
      <c r="DS34" s="21">
        <v>61</v>
      </c>
      <c r="DT34" s="32">
        <v>25</v>
      </c>
      <c r="DU34" s="21">
        <v>96</v>
      </c>
      <c r="DV34" s="31">
        <f t="shared" si="3"/>
        <v>131</v>
      </c>
      <c r="DW34" s="30">
        <f t="shared" si="6"/>
        <v>153</v>
      </c>
      <c r="DX34" s="36">
        <v>25</v>
      </c>
      <c r="DY34" s="23">
        <v>101</v>
      </c>
      <c r="DZ34" s="12">
        <v>32</v>
      </c>
      <c r="EA34" s="12">
        <f t="shared" ref="EA34:EA97" si="85">EA33+3</f>
        <v>226</v>
      </c>
      <c r="EB34" s="12">
        <f t="shared" ref="EB34:EB97" si="86">EB33+4</f>
        <v>198</v>
      </c>
      <c r="EC34" s="12">
        <f t="shared" ref="EC34:EC97" si="87">EC33+4</f>
        <v>188</v>
      </c>
      <c r="ED34" s="12">
        <f t="shared" ref="ED34:ED97" si="88">ED33+3</f>
        <v>166</v>
      </c>
      <c r="EE34" s="12">
        <f t="shared" ref="EE34:EE97" si="89">EE33+2</f>
        <v>154</v>
      </c>
      <c r="EF34" s="12">
        <f t="shared" ref="EF34:EF97" si="90">EF33+1</f>
        <v>152</v>
      </c>
      <c r="EG34" s="12">
        <f t="shared" ref="EG34:EG97" si="91">EG33+1</f>
        <v>142</v>
      </c>
      <c r="EH34" s="12">
        <f t="shared" ref="EH34:EH97" si="92">EH33+1</f>
        <v>142</v>
      </c>
      <c r="EI34" s="12">
        <f t="shared" ref="EI34:EI97" si="93">EI33+1</f>
        <v>132</v>
      </c>
      <c r="EJ34" s="12">
        <f t="shared" ref="EJ34:EJ97" si="94">EJ33+1</f>
        <v>122</v>
      </c>
      <c r="EK34" s="12">
        <f t="shared" ref="EK34:EK97" si="95">EK33+3</f>
        <v>156</v>
      </c>
      <c r="EL34" s="12">
        <f t="shared" ref="EL34:EL97" si="96">EL33+1</f>
        <v>142</v>
      </c>
      <c r="EM34" s="12">
        <f t="shared" ref="EM34:EM97" si="97">EM33+1</f>
        <v>132</v>
      </c>
      <c r="EN34" s="12">
        <f t="shared" ref="EN34:EN97" si="98">EN33+2</f>
        <v>134</v>
      </c>
      <c r="EO34" s="12">
        <f t="shared" ref="EO34:EO97" si="99">EO33+1</f>
        <v>122</v>
      </c>
      <c r="EP34" s="12">
        <f t="shared" ref="EP34:EP97" si="100">EP33+1</f>
        <v>112</v>
      </c>
      <c r="EQ34" s="12">
        <f t="shared" ref="EQ34:EQ97" si="101">EQ33+1</f>
        <v>102</v>
      </c>
      <c r="ER34" s="12">
        <f t="shared" ref="ER34:ER97" si="102">ER33+2</f>
        <v>124</v>
      </c>
      <c r="ES34" s="12">
        <f t="shared" ref="ES34:ES97" si="103">ES33+2</f>
        <v>104</v>
      </c>
      <c r="ET34" s="12">
        <f t="shared" ref="ET34:ET97" si="104">ET33+1</f>
        <v>92</v>
      </c>
      <c r="EU34" s="12">
        <f t="shared" ref="EU34:EU97" si="105">EU33+2</f>
        <v>94</v>
      </c>
      <c r="EV34" s="12">
        <f t="shared" ref="EV34:EV97" si="106">EV33+1</f>
        <v>92</v>
      </c>
      <c r="EW34" s="12">
        <f t="shared" ref="EW34:EW97" si="107">EW33+1</f>
        <v>72</v>
      </c>
      <c r="EX34" s="12">
        <f t="shared" ref="EX34:EX97" si="108">EX33+1</f>
        <v>62</v>
      </c>
      <c r="EY34" s="12">
        <f t="shared" ref="EY34:EY97" si="109">EY33+1</f>
        <v>42</v>
      </c>
      <c r="EZ34" s="12">
        <v>34</v>
      </c>
      <c r="FH34" s="12">
        <v>1100000</v>
      </c>
      <c r="FI34" s="12">
        <v>32</v>
      </c>
      <c r="FJ34" s="12">
        <v>1100000</v>
      </c>
    </row>
    <row r="35" spans="1:166" ht="13.35" customHeight="1" thickBot="1" x14ac:dyDescent="0.25">
      <c r="A35" s="21">
        <f t="shared" ref="A35:A66" si="110">A34+1</f>
        <v>34</v>
      </c>
      <c r="B35" s="21">
        <v>0</v>
      </c>
      <c r="C35" s="21">
        <f t="shared" ref="C35:C66" si="111">C34+1</f>
        <v>34</v>
      </c>
      <c r="E35" s="27" t="s">
        <v>638</v>
      </c>
      <c r="F35" s="28" t="s">
        <v>1047</v>
      </c>
      <c r="G35" s="28" t="s">
        <v>1047</v>
      </c>
      <c r="H35" s="28" t="s">
        <v>1047</v>
      </c>
      <c r="I35" s="28" t="s">
        <v>1019</v>
      </c>
      <c r="J35" s="28" t="s">
        <v>1048</v>
      </c>
      <c r="K35" s="28" t="s">
        <v>1049</v>
      </c>
      <c r="L35" s="28" t="s">
        <v>1049</v>
      </c>
      <c r="M35" s="28" t="s">
        <v>1049</v>
      </c>
      <c r="N35" s="28" t="s">
        <v>1049</v>
      </c>
      <c r="O35" s="28" t="s">
        <v>1050</v>
      </c>
      <c r="P35" s="28" t="s">
        <v>1050</v>
      </c>
      <c r="Q35" s="28" t="s">
        <v>1050</v>
      </c>
      <c r="R35" s="28" t="s">
        <v>1050</v>
      </c>
      <c r="S35" s="28" t="s">
        <v>1049</v>
      </c>
      <c r="T35" s="28" t="s">
        <v>1049</v>
      </c>
      <c r="U35" s="28" t="s">
        <v>1049</v>
      </c>
      <c r="V35" s="28" t="s">
        <v>911</v>
      </c>
      <c r="W35" s="28" t="s">
        <v>1049</v>
      </c>
      <c r="X35" s="28" t="s">
        <v>1022</v>
      </c>
      <c r="Y35" s="28" t="s">
        <v>1022</v>
      </c>
      <c r="Z35" s="28"/>
      <c r="AA35" s="28" t="s">
        <v>1049</v>
      </c>
      <c r="AB35" s="28" t="s">
        <v>1049</v>
      </c>
      <c r="AC35" s="28" t="s">
        <v>1047</v>
      </c>
      <c r="AD35" s="28" t="s">
        <v>1048</v>
      </c>
      <c r="AE35" s="28"/>
      <c r="AF35" s="28" t="s">
        <v>1049</v>
      </c>
      <c r="AG35" s="28" t="s">
        <v>1049</v>
      </c>
      <c r="AH35" s="28" t="s">
        <v>1049</v>
      </c>
      <c r="AI35" s="28"/>
      <c r="AJ35" s="28" t="s">
        <v>1049</v>
      </c>
      <c r="AK35" s="28" t="s">
        <v>1050</v>
      </c>
      <c r="AL35" s="28" t="s">
        <v>1050</v>
      </c>
      <c r="AM35" s="28" t="s">
        <v>1050</v>
      </c>
      <c r="AN35" s="28"/>
      <c r="AO35" s="28" t="s">
        <v>1049</v>
      </c>
      <c r="AP35" s="28" t="s">
        <v>1047</v>
      </c>
      <c r="AQ35" s="28" t="s">
        <v>1049</v>
      </c>
      <c r="AR35" s="28"/>
      <c r="AS35" s="28" t="s">
        <v>1049</v>
      </c>
      <c r="AT35" s="28" t="s">
        <v>1049</v>
      </c>
      <c r="AU35" s="28" t="s">
        <v>1049</v>
      </c>
      <c r="AV35" s="28" t="s">
        <v>1049</v>
      </c>
      <c r="AW35" s="28" t="s">
        <v>1049</v>
      </c>
      <c r="AX35" s="28" t="s">
        <v>1049</v>
      </c>
      <c r="AY35" s="28" t="s">
        <v>1049</v>
      </c>
      <c r="AZ35" s="28" t="s">
        <v>1049</v>
      </c>
      <c r="BA35" s="28" t="s">
        <v>1049</v>
      </c>
      <c r="BB35" s="28" t="s">
        <v>1049</v>
      </c>
      <c r="BC35" s="28" t="s">
        <v>1049</v>
      </c>
      <c r="BD35" s="28" t="s">
        <v>1049</v>
      </c>
      <c r="BE35" s="28" t="s">
        <v>1049</v>
      </c>
      <c r="BF35" s="28" t="s">
        <v>1049</v>
      </c>
      <c r="BG35" s="28" t="s">
        <v>1049</v>
      </c>
      <c r="BH35" s="28" t="s">
        <v>1049</v>
      </c>
      <c r="BI35" s="28" t="s">
        <v>1049</v>
      </c>
      <c r="BJ35" s="28" t="s">
        <v>1049</v>
      </c>
      <c r="BK35" s="28" t="s">
        <v>1049</v>
      </c>
      <c r="BL35" s="28" t="s">
        <v>1049</v>
      </c>
      <c r="BM35" s="28" t="s">
        <v>1049</v>
      </c>
      <c r="BN35" s="28" t="s">
        <v>1049</v>
      </c>
      <c r="BO35" s="28" t="s">
        <v>1049</v>
      </c>
      <c r="BP35" s="28" t="s">
        <v>1049</v>
      </c>
      <c r="BQ35" s="28" t="s">
        <v>1049</v>
      </c>
      <c r="BR35" s="28" t="s">
        <v>1049</v>
      </c>
      <c r="BS35" s="28" t="s">
        <v>1049</v>
      </c>
      <c r="BT35" s="28" t="s">
        <v>1049</v>
      </c>
      <c r="BU35" s="28" t="s">
        <v>1049</v>
      </c>
      <c r="BV35" s="28" t="s">
        <v>1049</v>
      </c>
      <c r="BW35" s="28" t="s">
        <v>1049</v>
      </c>
      <c r="BX35" s="28" t="s">
        <v>1049</v>
      </c>
      <c r="BY35" s="28" t="s">
        <v>1049</v>
      </c>
      <c r="BZ35" s="28" t="s">
        <v>1049</v>
      </c>
      <c r="CA35" s="28" t="s">
        <v>1049</v>
      </c>
      <c r="CB35" s="28" t="s">
        <v>1049</v>
      </c>
      <c r="CC35" s="28" t="s">
        <v>1049</v>
      </c>
      <c r="CD35" s="28" t="s">
        <v>1049</v>
      </c>
      <c r="CE35" s="28" t="s">
        <v>1049</v>
      </c>
      <c r="CF35" s="28" t="s">
        <v>1049</v>
      </c>
      <c r="CG35" s="28" t="s">
        <v>1049</v>
      </c>
      <c r="CH35" s="28" t="s">
        <v>1049</v>
      </c>
      <c r="CI35" s="28" t="s">
        <v>1049</v>
      </c>
      <c r="CJ35" s="28" t="s">
        <v>1049</v>
      </c>
      <c r="CK35" s="28" t="s">
        <v>1049</v>
      </c>
      <c r="CL35" s="28" t="s">
        <v>1049</v>
      </c>
      <c r="CM35" s="28" t="s">
        <v>1049</v>
      </c>
      <c r="CN35" s="28" t="s">
        <v>1049</v>
      </c>
      <c r="CO35" s="28" t="s">
        <v>1049</v>
      </c>
      <c r="CP35" s="28" t="s">
        <v>1049</v>
      </c>
      <c r="CQ35" s="28" t="s">
        <v>1049</v>
      </c>
      <c r="CR35" s="28"/>
      <c r="CS35" s="28" t="s">
        <v>1050</v>
      </c>
      <c r="CT35" s="28" t="s">
        <v>1048</v>
      </c>
      <c r="CU35" s="28" t="s">
        <v>1049</v>
      </c>
      <c r="CV35" s="28" t="s">
        <v>1051</v>
      </c>
      <c r="CW35" s="28"/>
      <c r="CX35" s="28" t="s">
        <v>1048</v>
      </c>
      <c r="CY35" s="28" t="s">
        <v>1048</v>
      </c>
      <c r="CZ35" s="28" t="s">
        <v>1048</v>
      </c>
      <c r="DA35" s="28" t="s">
        <v>1050</v>
      </c>
      <c r="DB35" s="28" t="s">
        <v>1049</v>
      </c>
      <c r="DC35" s="28" t="s">
        <v>1049</v>
      </c>
      <c r="DD35" s="28" t="s">
        <v>1050</v>
      </c>
      <c r="DE35" s="28"/>
      <c r="DF35" s="12">
        <v>34</v>
      </c>
      <c r="DH35" s="97">
        <v>4</v>
      </c>
      <c r="DI35" s="12" t="s">
        <v>1203</v>
      </c>
      <c r="DJ35" s="43">
        <v>0</v>
      </c>
      <c r="DK35" s="12">
        <v>0</v>
      </c>
      <c r="DL35" s="12">
        <v>0</v>
      </c>
      <c r="DM35" s="12">
        <v>0</v>
      </c>
      <c r="DN35" s="98">
        <v>0</v>
      </c>
      <c r="DQ35" s="35">
        <v>32</v>
      </c>
      <c r="DR35" s="21">
        <v>36</v>
      </c>
      <c r="DS35" s="21">
        <v>61</v>
      </c>
      <c r="DT35" s="32">
        <v>25</v>
      </c>
      <c r="DU35" s="21">
        <v>97</v>
      </c>
      <c r="DV35" s="31">
        <f t="shared" ref="DV35:DV66" si="112">HLOOKUP($B$154,$DZ$1:$EZ$202,$EZ34,0)</f>
        <v>132</v>
      </c>
      <c r="DW35" s="30">
        <f t="shared" si="6"/>
        <v>156</v>
      </c>
      <c r="DX35" s="36">
        <v>25</v>
      </c>
      <c r="DY35" s="23">
        <v>102</v>
      </c>
      <c r="DZ35" s="12">
        <v>33</v>
      </c>
      <c r="EA35" s="12">
        <f t="shared" si="85"/>
        <v>229</v>
      </c>
      <c r="EB35" s="12">
        <f t="shared" si="86"/>
        <v>202</v>
      </c>
      <c r="EC35" s="12">
        <f t="shared" si="87"/>
        <v>192</v>
      </c>
      <c r="ED35" s="12">
        <f t="shared" si="88"/>
        <v>169</v>
      </c>
      <c r="EE35" s="12">
        <f t="shared" si="89"/>
        <v>156</v>
      </c>
      <c r="EF35" s="12">
        <f t="shared" si="90"/>
        <v>153</v>
      </c>
      <c r="EG35" s="12">
        <f t="shared" si="91"/>
        <v>143</v>
      </c>
      <c r="EH35" s="12">
        <f t="shared" si="92"/>
        <v>143</v>
      </c>
      <c r="EI35" s="12">
        <f t="shared" si="93"/>
        <v>133</v>
      </c>
      <c r="EJ35" s="12">
        <f t="shared" si="94"/>
        <v>123</v>
      </c>
      <c r="EK35" s="12">
        <f t="shared" si="95"/>
        <v>159</v>
      </c>
      <c r="EL35" s="12">
        <f t="shared" si="96"/>
        <v>143</v>
      </c>
      <c r="EM35" s="12">
        <f t="shared" si="97"/>
        <v>133</v>
      </c>
      <c r="EN35" s="12">
        <f t="shared" si="98"/>
        <v>136</v>
      </c>
      <c r="EO35" s="12">
        <f t="shared" si="99"/>
        <v>123</v>
      </c>
      <c r="EP35" s="12">
        <f t="shared" si="100"/>
        <v>113</v>
      </c>
      <c r="EQ35" s="12">
        <f t="shared" si="101"/>
        <v>103</v>
      </c>
      <c r="ER35" s="12">
        <f t="shared" si="102"/>
        <v>126</v>
      </c>
      <c r="ES35" s="12">
        <f t="shared" si="103"/>
        <v>106</v>
      </c>
      <c r="ET35" s="12">
        <f t="shared" si="104"/>
        <v>93</v>
      </c>
      <c r="EU35" s="12">
        <f t="shared" si="105"/>
        <v>96</v>
      </c>
      <c r="EV35" s="12">
        <f t="shared" si="106"/>
        <v>93</v>
      </c>
      <c r="EW35" s="12">
        <f t="shared" si="107"/>
        <v>73</v>
      </c>
      <c r="EX35" s="12">
        <f t="shared" si="108"/>
        <v>63</v>
      </c>
      <c r="EY35" s="12">
        <f t="shared" si="109"/>
        <v>43</v>
      </c>
      <c r="EZ35" s="12">
        <v>35</v>
      </c>
      <c r="FD35" s="12">
        <f>Skills!K186</f>
        <v>-7.01</v>
      </c>
      <c r="FE35" s="12" t="str">
        <f>Skills!B186</f>
        <v>Sweeps 2</v>
      </c>
      <c r="FH35" s="12">
        <v>1150000</v>
      </c>
      <c r="FI35" s="12">
        <v>33</v>
      </c>
      <c r="FJ35" s="12">
        <v>1150000</v>
      </c>
    </row>
    <row r="36" spans="1:166" ht="13.35" customHeight="1" thickBot="1" x14ac:dyDescent="0.25">
      <c r="A36" s="21">
        <f t="shared" si="110"/>
        <v>35</v>
      </c>
      <c r="B36" s="21">
        <v>0</v>
      </c>
      <c r="C36" s="21">
        <f t="shared" si="111"/>
        <v>35</v>
      </c>
      <c r="E36" s="37" t="s">
        <v>741</v>
      </c>
      <c r="F36" s="38" t="s">
        <v>1048</v>
      </c>
      <c r="G36" s="38" t="s">
        <v>1052</v>
      </c>
      <c r="H36" s="38" t="s">
        <v>1022</v>
      </c>
      <c r="I36" s="38" t="s">
        <v>1050</v>
      </c>
      <c r="J36" s="38" t="s">
        <v>1011</v>
      </c>
      <c r="K36" s="38" t="s">
        <v>1053</v>
      </c>
      <c r="L36" s="38" t="s">
        <v>1053</v>
      </c>
      <c r="M36" s="38" t="s">
        <v>1053</v>
      </c>
      <c r="N36" s="38" t="s">
        <v>1053</v>
      </c>
      <c r="O36" s="38" t="s">
        <v>1053</v>
      </c>
      <c r="P36" s="38" t="s">
        <v>1053</v>
      </c>
      <c r="Q36" s="38" t="s">
        <v>1054</v>
      </c>
      <c r="R36" s="38" t="s">
        <v>1054</v>
      </c>
      <c r="S36" s="38" t="s">
        <v>1054</v>
      </c>
      <c r="T36" s="38" t="s">
        <v>1012</v>
      </c>
      <c r="U36" s="38" t="s">
        <v>1012</v>
      </c>
      <c r="V36" s="38" t="s">
        <v>1012</v>
      </c>
      <c r="W36" s="38" t="s">
        <v>1012</v>
      </c>
      <c r="X36" s="38" t="s">
        <v>1012</v>
      </c>
      <c r="Y36" s="38" t="s">
        <v>1012</v>
      </c>
      <c r="Z36" s="38"/>
      <c r="AA36" s="38" t="s">
        <v>1055</v>
      </c>
      <c r="AB36" s="38" t="s">
        <v>1055</v>
      </c>
      <c r="AC36" s="38" t="s">
        <v>1055</v>
      </c>
      <c r="AD36" s="38" t="s">
        <v>1055</v>
      </c>
      <c r="AE36" s="38"/>
      <c r="AF36" s="38" t="s">
        <v>1054</v>
      </c>
      <c r="AG36" s="38" t="s">
        <v>1053</v>
      </c>
      <c r="AH36" s="38" t="s">
        <v>1012</v>
      </c>
      <c r="AI36" s="38"/>
      <c r="AJ36" s="38" t="s">
        <v>1012</v>
      </c>
      <c r="AK36" s="38" t="s">
        <v>1054</v>
      </c>
      <c r="AL36" s="38" t="s">
        <v>1053</v>
      </c>
      <c r="AM36" s="38" t="s">
        <v>1054</v>
      </c>
      <c r="AN36" s="38"/>
      <c r="AO36" s="38" t="s">
        <v>1054</v>
      </c>
      <c r="AP36" s="38" t="s">
        <v>1054</v>
      </c>
      <c r="AQ36" s="38" t="s">
        <v>1012</v>
      </c>
      <c r="AR36" s="38"/>
      <c r="AS36" s="38" t="s">
        <v>1053</v>
      </c>
      <c r="AT36" s="38" t="s">
        <v>1053</v>
      </c>
      <c r="AU36" s="38" t="s">
        <v>1053</v>
      </c>
      <c r="AV36" s="38" t="s">
        <v>1053</v>
      </c>
      <c r="AW36" s="38" t="s">
        <v>1053</v>
      </c>
      <c r="AX36" s="38" t="s">
        <v>1053</v>
      </c>
      <c r="AY36" s="38" t="s">
        <v>1053</v>
      </c>
      <c r="AZ36" s="38" t="s">
        <v>1053</v>
      </c>
      <c r="BA36" s="38" t="s">
        <v>1053</v>
      </c>
      <c r="BB36" s="38" t="s">
        <v>1053</v>
      </c>
      <c r="BC36" s="38" t="s">
        <v>1053</v>
      </c>
      <c r="BD36" s="38" t="s">
        <v>1053</v>
      </c>
      <c r="BE36" s="38" t="s">
        <v>1053</v>
      </c>
      <c r="BF36" s="38" t="s">
        <v>1053</v>
      </c>
      <c r="BG36" s="38" t="s">
        <v>1053</v>
      </c>
      <c r="BH36" s="38" t="s">
        <v>1053</v>
      </c>
      <c r="BI36" s="38" t="s">
        <v>1053</v>
      </c>
      <c r="BJ36" s="38" t="s">
        <v>1053</v>
      </c>
      <c r="BK36" s="38" t="s">
        <v>1053</v>
      </c>
      <c r="BL36" s="38" t="s">
        <v>1053</v>
      </c>
      <c r="BM36" s="38" t="s">
        <v>1053</v>
      </c>
      <c r="BN36" s="38" t="s">
        <v>1053</v>
      </c>
      <c r="BO36" s="38" t="s">
        <v>1053</v>
      </c>
      <c r="BP36" s="38" t="s">
        <v>1053</v>
      </c>
      <c r="BQ36" s="38" t="s">
        <v>1053</v>
      </c>
      <c r="BR36" s="38" t="s">
        <v>1053</v>
      </c>
      <c r="BS36" s="38" t="s">
        <v>1053</v>
      </c>
      <c r="BT36" s="38" t="s">
        <v>1053</v>
      </c>
      <c r="BU36" s="38" t="s">
        <v>1053</v>
      </c>
      <c r="BV36" s="38" t="s">
        <v>1053</v>
      </c>
      <c r="BW36" s="38" t="s">
        <v>1053</v>
      </c>
      <c r="BX36" s="38" t="s">
        <v>1053</v>
      </c>
      <c r="BY36" s="38" t="s">
        <v>1053</v>
      </c>
      <c r="BZ36" s="38" t="s">
        <v>1053</v>
      </c>
      <c r="CA36" s="38" t="s">
        <v>1053</v>
      </c>
      <c r="CB36" s="38" t="s">
        <v>1053</v>
      </c>
      <c r="CC36" s="38" t="s">
        <v>1053</v>
      </c>
      <c r="CD36" s="38" t="s">
        <v>1053</v>
      </c>
      <c r="CE36" s="38" t="s">
        <v>1053</v>
      </c>
      <c r="CF36" s="38" t="s">
        <v>1053</v>
      </c>
      <c r="CG36" s="38" t="s">
        <v>1053</v>
      </c>
      <c r="CH36" s="38" t="s">
        <v>1053</v>
      </c>
      <c r="CI36" s="38" t="s">
        <v>1053</v>
      </c>
      <c r="CJ36" s="38" t="s">
        <v>1053</v>
      </c>
      <c r="CK36" s="38" t="s">
        <v>1053</v>
      </c>
      <c r="CL36" s="38" t="s">
        <v>1053</v>
      </c>
      <c r="CM36" s="38" t="s">
        <v>1053</v>
      </c>
      <c r="CN36" s="38" t="s">
        <v>1053</v>
      </c>
      <c r="CO36" s="38" t="s">
        <v>1053</v>
      </c>
      <c r="CP36" s="38" t="s">
        <v>1053</v>
      </c>
      <c r="CQ36" s="38" t="s">
        <v>1053</v>
      </c>
      <c r="CR36" s="38"/>
      <c r="CS36" s="38" t="s">
        <v>1047</v>
      </c>
      <c r="CT36" s="38" t="s">
        <v>1050</v>
      </c>
      <c r="CU36" s="38" t="s">
        <v>1017</v>
      </c>
      <c r="CV36" s="38" t="s">
        <v>1022</v>
      </c>
      <c r="CW36" s="38"/>
      <c r="CX36" s="38" t="s">
        <v>1012</v>
      </c>
      <c r="CY36" s="38" t="s">
        <v>1054</v>
      </c>
      <c r="CZ36" s="38" t="s">
        <v>1054</v>
      </c>
      <c r="DA36" s="38" t="s">
        <v>1048</v>
      </c>
      <c r="DB36" s="38" t="s">
        <v>1053</v>
      </c>
      <c r="DC36" s="38" t="s">
        <v>1053</v>
      </c>
      <c r="DD36" s="38" t="s">
        <v>1053</v>
      </c>
      <c r="DE36" s="38"/>
      <c r="DF36" s="39">
        <v>35</v>
      </c>
      <c r="DH36" s="97">
        <v>5</v>
      </c>
      <c r="DI36" s="12" t="s">
        <v>1215</v>
      </c>
      <c r="DJ36" s="43">
        <v>0</v>
      </c>
      <c r="DK36" s="12">
        <v>0</v>
      </c>
      <c r="DL36" s="12">
        <v>0</v>
      </c>
      <c r="DM36" s="12">
        <v>0</v>
      </c>
      <c r="DN36" s="98">
        <v>1</v>
      </c>
      <c r="DQ36" s="35">
        <v>33</v>
      </c>
      <c r="DR36" s="21">
        <v>37</v>
      </c>
      <c r="DS36" s="21">
        <v>62</v>
      </c>
      <c r="DT36" s="32">
        <v>25</v>
      </c>
      <c r="DU36" s="21">
        <v>98</v>
      </c>
      <c r="DV36" s="31">
        <f t="shared" si="112"/>
        <v>133</v>
      </c>
      <c r="DW36" s="30">
        <f t="shared" ref="DW36:DW67" si="113">HLOOKUP($B$155,$DZ$1:$FA$202,$EZ35,0)</f>
        <v>159</v>
      </c>
      <c r="DX36" s="36">
        <v>25</v>
      </c>
      <c r="DY36" s="23">
        <v>103</v>
      </c>
      <c r="DZ36" s="12">
        <v>34</v>
      </c>
      <c r="EA36" s="12">
        <f t="shared" si="85"/>
        <v>232</v>
      </c>
      <c r="EB36" s="12">
        <f t="shared" si="86"/>
        <v>206</v>
      </c>
      <c r="EC36" s="12">
        <f t="shared" si="87"/>
        <v>196</v>
      </c>
      <c r="ED36" s="12">
        <f t="shared" si="88"/>
        <v>172</v>
      </c>
      <c r="EE36" s="12">
        <f t="shared" si="89"/>
        <v>158</v>
      </c>
      <c r="EF36" s="12">
        <f t="shared" si="90"/>
        <v>154</v>
      </c>
      <c r="EG36" s="12">
        <f t="shared" si="91"/>
        <v>144</v>
      </c>
      <c r="EH36" s="12">
        <f t="shared" si="92"/>
        <v>144</v>
      </c>
      <c r="EI36" s="12">
        <f t="shared" si="93"/>
        <v>134</v>
      </c>
      <c r="EJ36" s="12">
        <f t="shared" si="94"/>
        <v>124</v>
      </c>
      <c r="EK36" s="12">
        <f t="shared" si="95"/>
        <v>162</v>
      </c>
      <c r="EL36" s="12">
        <f t="shared" si="96"/>
        <v>144</v>
      </c>
      <c r="EM36" s="12">
        <f t="shared" si="97"/>
        <v>134</v>
      </c>
      <c r="EN36" s="12">
        <f t="shared" si="98"/>
        <v>138</v>
      </c>
      <c r="EO36" s="12">
        <f t="shared" si="99"/>
        <v>124</v>
      </c>
      <c r="EP36" s="12">
        <f t="shared" si="100"/>
        <v>114</v>
      </c>
      <c r="EQ36" s="12">
        <f t="shared" si="101"/>
        <v>104</v>
      </c>
      <c r="ER36" s="12">
        <f t="shared" si="102"/>
        <v>128</v>
      </c>
      <c r="ES36" s="12">
        <f t="shared" si="103"/>
        <v>108</v>
      </c>
      <c r="ET36" s="12">
        <f t="shared" si="104"/>
        <v>94</v>
      </c>
      <c r="EU36" s="12">
        <f t="shared" si="105"/>
        <v>98</v>
      </c>
      <c r="EV36" s="12">
        <f t="shared" si="106"/>
        <v>94</v>
      </c>
      <c r="EW36" s="12">
        <f t="shared" si="107"/>
        <v>74</v>
      </c>
      <c r="EX36" s="12">
        <f t="shared" si="108"/>
        <v>64</v>
      </c>
      <c r="EY36" s="12">
        <f t="shared" si="109"/>
        <v>44</v>
      </c>
      <c r="EZ36" s="12">
        <v>36</v>
      </c>
      <c r="FD36" s="12">
        <f>Skills!K187</f>
        <v>-7.01</v>
      </c>
      <c r="FE36" s="12" t="str">
        <f>Skills!B187</f>
        <v>Sweeps 1</v>
      </c>
      <c r="FH36" s="12">
        <v>1200000</v>
      </c>
      <c r="FI36" s="12">
        <v>34</v>
      </c>
      <c r="FJ36" s="12">
        <v>1200000</v>
      </c>
    </row>
    <row r="37" spans="1:166" ht="13.35" customHeight="1" thickBot="1" x14ac:dyDescent="0.25">
      <c r="A37" s="21">
        <f t="shared" si="110"/>
        <v>36</v>
      </c>
      <c r="B37" s="21">
        <v>0</v>
      </c>
      <c r="C37" s="21">
        <f t="shared" si="111"/>
        <v>36</v>
      </c>
      <c r="D37" s="12">
        <v>120</v>
      </c>
      <c r="E37" s="27" t="s">
        <v>745</v>
      </c>
      <c r="F37" s="28" t="s">
        <v>1057</v>
      </c>
      <c r="G37" s="28" t="s">
        <v>1057</v>
      </c>
      <c r="H37" s="28" t="s">
        <v>1057</v>
      </c>
      <c r="I37" s="28" t="s">
        <v>1057</v>
      </c>
      <c r="J37" s="28" t="s">
        <v>1057</v>
      </c>
      <c r="K37" s="28" t="s">
        <v>1058</v>
      </c>
      <c r="L37" s="28" t="s">
        <v>1058</v>
      </c>
      <c r="M37" s="28" t="s">
        <v>1058</v>
      </c>
      <c r="N37" s="28" t="s">
        <v>1058</v>
      </c>
      <c r="O37" s="28" t="s">
        <v>1058</v>
      </c>
      <c r="P37" s="28" t="s">
        <v>1058</v>
      </c>
      <c r="Q37" s="28" t="s">
        <v>1059</v>
      </c>
      <c r="R37" s="28" t="s">
        <v>1059</v>
      </c>
      <c r="S37" s="28" t="s">
        <v>1059</v>
      </c>
      <c r="T37" s="28" t="s">
        <v>1060</v>
      </c>
      <c r="U37" s="28" t="s">
        <v>1060</v>
      </c>
      <c r="V37" s="28" t="s">
        <v>1060</v>
      </c>
      <c r="W37" s="28" t="s">
        <v>1060</v>
      </c>
      <c r="X37" s="28" t="s">
        <v>1060</v>
      </c>
      <c r="Y37" s="28" t="s">
        <v>1060</v>
      </c>
      <c r="Z37" s="28"/>
      <c r="AA37" s="28" t="s">
        <v>1061</v>
      </c>
      <c r="AB37" s="28" t="s">
        <v>1061</v>
      </c>
      <c r="AC37" s="28" t="s">
        <v>1059</v>
      </c>
      <c r="AD37" s="28" t="s">
        <v>1059</v>
      </c>
      <c r="AE37" s="28"/>
      <c r="AF37" s="28" t="s">
        <v>1059</v>
      </c>
      <c r="AG37" s="28" t="s">
        <v>1058</v>
      </c>
      <c r="AH37" s="28" t="s">
        <v>1060</v>
      </c>
      <c r="AI37" s="28"/>
      <c r="AJ37" s="28" t="s">
        <v>1060</v>
      </c>
      <c r="AK37" s="28" t="s">
        <v>1059</v>
      </c>
      <c r="AL37" s="28" t="s">
        <v>1058</v>
      </c>
      <c r="AM37" s="28" t="s">
        <v>1059</v>
      </c>
      <c r="AN37" s="28"/>
      <c r="AO37" s="28" t="s">
        <v>1059</v>
      </c>
      <c r="AP37" s="28" t="s">
        <v>1059</v>
      </c>
      <c r="AQ37" s="28" t="s">
        <v>1060</v>
      </c>
      <c r="AR37" s="28"/>
      <c r="AS37" s="28" t="s">
        <v>1058</v>
      </c>
      <c r="AT37" s="28" t="s">
        <v>1058</v>
      </c>
      <c r="AU37" s="28" t="s">
        <v>1058</v>
      </c>
      <c r="AV37" s="28" t="s">
        <v>1058</v>
      </c>
      <c r="AW37" s="28" t="s">
        <v>1058</v>
      </c>
      <c r="AX37" s="28" t="s">
        <v>1058</v>
      </c>
      <c r="AY37" s="28" t="s">
        <v>1058</v>
      </c>
      <c r="AZ37" s="28" t="s">
        <v>1058</v>
      </c>
      <c r="BA37" s="28" t="s">
        <v>1058</v>
      </c>
      <c r="BB37" s="28" t="s">
        <v>1058</v>
      </c>
      <c r="BC37" s="28" t="s">
        <v>1058</v>
      </c>
      <c r="BD37" s="28" t="s">
        <v>1058</v>
      </c>
      <c r="BE37" s="28" t="s">
        <v>1058</v>
      </c>
      <c r="BF37" s="28" t="s">
        <v>1058</v>
      </c>
      <c r="BG37" s="28" t="s">
        <v>1058</v>
      </c>
      <c r="BH37" s="28" t="s">
        <v>1058</v>
      </c>
      <c r="BI37" s="28" t="s">
        <v>1058</v>
      </c>
      <c r="BJ37" s="28" t="s">
        <v>1058</v>
      </c>
      <c r="BK37" s="28" t="s">
        <v>1058</v>
      </c>
      <c r="BL37" s="28" t="s">
        <v>1058</v>
      </c>
      <c r="BM37" s="28" t="s">
        <v>1058</v>
      </c>
      <c r="BN37" s="28" t="s">
        <v>1058</v>
      </c>
      <c r="BO37" s="28" t="s">
        <v>1058</v>
      </c>
      <c r="BP37" s="28" t="s">
        <v>1058</v>
      </c>
      <c r="BQ37" s="28" t="s">
        <v>1058</v>
      </c>
      <c r="BR37" s="28" t="s">
        <v>1058</v>
      </c>
      <c r="BS37" s="28" t="s">
        <v>1058</v>
      </c>
      <c r="BT37" s="28" t="s">
        <v>1058</v>
      </c>
      <c r="BU37" s="28" t="s">
        <v>1058</v>
      </c>
      <c r="BV37" s="28" t="s">
        <v>1058</v>
      </c>
      <c r="BW37" s="28" t="s">
        <v>1058</v>
      </c>
      <c r="BX37" s="28" t="s">
        <v>1058</v>
      </c>
      <c r="BY37" s="28" t="s">
        <v>1058</v>
      </c>
      <c r="BZ37" s="28" t="s">
        <v>1058</v>
      </c>
      <c r="CA37" s="28" t="s">
        <v>1058</v>
      </c>
      <c r="CB37" s="28" t="s">
        <v>1058</v>
      </c>
      <c r="CC37" s="28" t="s">
        <v>1058</v>
      </c>
      <c r="CD37" s="28" t="s">
        <v>1058</v>
      </c>
      <c r="CE37" s="28" t="s">
        <v>1058</v>
      </c>
      <c r="CF37" s="28" t="s">
        <v>1058</v>
      </c>
      <c r="CG37" s="28" t="s">
        <v>1058</v>
      </c>
      <c r="CH37" s="28" t="s">
        <v>1058</v>
      </c>
      <c r="CI37" s="28" t="s">
        <v>1058</v>
      </c>
      <c r="CJ37" s="28" t="s">
        <v>1058</v>
      </c>
      <c r="CK37" s="28" t="s">
        <v>1058</v>
      </c>
      <c r="CL37" s="28" t="s">
        <v>1058</v>
      </c>
      <c r="CM37" s="28" t="s">
        <v>1058</v>
      </c>
      <c r="CN37" s="28" t="s">
        <v>1058</v>
      </c>
      <c r="CO37" s="28" t="s">
        <v>1058</v>
      </c>
      <c r="CP37" s="28" t="s">
        <v>1058</v>
      </c>
      <c r="CQ37" s="28" t="s">
        <v>1058</v>
      </c>
      <c r="CR37" s="28"/>
      <c r="CS37" s="28" t="s">
        <v>1057</v>
      </c>
      <c r="CT37" s="28" t="s">
        <v>1057</v>
      </c>
      <c r="CU37" s="28" t="s">
        <v>1062</v>
      </c>
      <c r="CV37" s="28" t="s">
        <v>1057</v>
      </c>
      <c r="CW37" s="28"/>
      <c r="CX37" s="28" t="s">
        <v>1060</v>
      </c>
      <c r="CY37" s="28" t="s">
        <v>1059</v>
      </c>
      <c r="CZ37" s="28" t="s">
        <v>1059</v>
      </c>
      <c r="DA37" s="28" t="s">
        <v>1063</v>
      </c>
      <c r="DB37" s="28" t="s">
        <v>1058</v>
      </c>
      <c r="DC37" s="28" t="s">
        <v>1058</v>
      </c>
      <c r="DD37" s="28" t="s">
        <v>1058</v>
      </c>
      <c r="DE37" s="28"/>
      <c r="DF37" s="12">
        <v>36</v>
      </c>
      <c r="DH37" s="97">
        <v>6</v>
      </c>
      <c r="DI37" s="12" t="s">
        <v>1227</v>
      </c>
      <c r="DJ37" s="43">
        <v>0</v>
      </c>
      <c r="DK37" s="12">
        <v>-8</v>
      </c>
      <c r="DL37" s="12">
        <v>0</v>
      </c>
      <c r="DM37" s="12">
        <v>0</v>
      </c>
      <c r="DN37" s="98">
        <v>1</v>
      </c>
      <c r="DQ37" s="35">
        <v>34</v>
      </c>
      <c r="DR37" s="21">
        <v>37</v>
      </c>
      <c r="DS37" s="21">
        <v>62</v>
      </c>
      <c r="DT37" s="32">
        <v>25</v>
      </c>
      <c r="DU37" s="21">
        <v>99</v>
      </c>
      <c r="DV37" s="31">
        <f t="shared" si="112"/>
        <v>134</v>
      </c>
      <c r="DW37" s="30">
        <f t="shared" si="113"/>
        <v>162</v>
      </c>
      <c r="DX37" s="36">
        <v>25</v>
      </c>
      <c r="DY37" s="23">
        <v>104</v>
      </c>
      <c r="DZ37" s="12">
        <v>35</v>
      </c>
      <c r="EA37" s="12">
        <f t="shared" si="85"/>
        <v>235</v>
      </c>
      <c r="EB37" s="12">
        <f t="shared" si="86"/>
        <v>210</v>
      </c>
      <c r="EC37" s="12">
        <f t="shared" si="87"/>
        <v>200</v>
      </c>
      <c r="ED37" s="12">
        <f t="shared" si="88"/>
        <v>175</v>
      </c>
      <c r="EE37" s="12">
        <f t="shared" si="89"/>
        <v>160</v>
      </c>
      <c r="EF37" s="12">
        <f t="shared" si="90"/>
        <v>155</v>
      </c>
      <c r="EG37" s="12">
        <f t="shared" si="91"/>
        <v>145</v>
      </c>
      <c r="EH37" s="12">
        <f t="shared" si="92"/>
        <v>145</v>
      </c>
      <c r="EI37" s="12">
        <f t="shared" si="93"/>
        <v>135</v>
      </c>
      <c r="EJ37" s="12">
        <f t="shared" si="94"/>
        <v>125</v>
      </c>
      <c r="EK37" s="12">
        <f t="shared" si="95"/>
        <v>165</v>
      </c>
      <c r="EL37" s="12">
        <f t="shared" si="96"/>
        <v>145</v>
      </c>
      <c r="EM37" s="12">
        <f t="shared" si="97"/>
        <v>135</v>
      </c>
      <c r="EN37" s="12">
        <f t="shared" si="98"/>
        <v>140</v>
      </c>
      <c r="EO37" s="12">
        <f t="shared" si="99"/>
        <v>125</v>
      </c>
      <c r="EP37" s="12">
        <f t="shared" si="100"/>
        <v>115</v>
      </c>
      <c r="EQ37" s="12">
        <f t="shared" si="101"/>
        <v>105</v>
      </c>
      <c r="ER37" s="12">
        <f t="shared" si="102"/>
        <v>130</v>
      </c>
      <c r="ES37" s="12">
        <f t="shared" si="103"/>
        <v>110</v>
      </c>
      <c r="ET37" s="12">
        <f t="shared" si="104"/>
        <v>95</v>
      </c>
      <c r="EU37" s="12">
        <f t="shared" si="105"/>
        <v>100</v>
      </c>
      <c r="EV37" s="12">
        <f t="shared" si="106"/>
        <v>95</v>
      </c>
      <c r="EW37" s="12">
        <f t="shared" si="107"/>
        <v>75</v>
      </c>
      <c r="EX37" s="12">
        <f t="shared" si="108"/>
        <v>65</v>
      </c>
      <c r="EY37" s="12">
        <f t="shared" si="109"/>
        <v>45</v>
      </c>
      <c r="EZ37" s="12">
        <v>37</v>
      </c>
      <c r="FD37" s="12">
        <f>Skills!K184</f>
        <v>-7.01</v>
      </c>
      <c r="FE37" s="12" t="str">
        <f>Skills!B184</f>
        <v>Sweeps 4</v>
      </c>
      <c r="FH37" s="12">
        <v>1250000</v>
      </c>
      <c r="FI37" s="12">
        <v>35</v>
      </c>
      <c r="FJ37" s="12">
        <v>1250000</v>
      </c>
    </row>
    <row r="38" spans="1:166" ht="13.35" customHeight="1" thickBot="1" x14ac:dyDescent="0.25">
      <c r="A38" s="21">
        <f t="shared" si="110"/>
        <v>37</v>
      </c>
      <c r="B38" s="21">
        <v>0</v>
      </c>
      <c r="C38" s="21">
        <f t="shared" si="111"/>
        <v>37</v>
      </c>
      <c r="D38" s="12">
        <v>90</v>
      </c>
      <c r="E38" s="27" t="s">
        <v>743</v>
      </c>
      <c r="F38" s="28" t="s">
        <v>1065</v>
      </c>
      <c r="G38" s="28" t="s">
        <v>1060</v>
      </c>
      <c r="H38" s="28" t="s">
        <v>1059</v>
      </c>
      <c r="I38" s="28" t="s">
        <v>1066</v>
      </c>
      <c r="J38" s="28" t="s">
        <v>1067</v>
      </c>
      <c r="K38" s="28" t="s">
        <v>1068</v>
      </c>
      <c r="L38" s="28" t="s">
        <v>1068</v>
      </c>
      <c r="M38" s="28" t="s">
        <v>1068</v>
      </c>
      <c r="N38" s="28" t="s">
        <v>1068</v>
      </c>
      <c r="O38" s="28" t="s">
        <v>1068</v>
      </c>
      <c r="P38" s="28" t="s">
        <v>1068</v>
      </c>
      <c r="Q38" s="28" t="s">
        <v>1069</v>
      </c>
      <c r="R38" s="28" t="s">
        <v>1069</v>
      </c>
      <c r="S38" s="28" t="s">
        <v>1069</v>
      </c>
      <c r="T38" s="28" t="s">
        <v>1070</v>
      </c>
      <c r="U38" s="28" t="s">
        <v>1070</v>
      </c>
      <c r="V38" s="28" t="s">
        <v>1070</v>
      </c>
      <c r="W38" s="28" t="s">
        <v>1070</v>
      </c>
      <c r="X38" s="28" t="s">
        <v>1070</v>
      </c>
      <c r="Y38" s="28" t="s">
        <v>1070</v>
      </c>
      <c r="Z38" s="28"/>
      <c r="AA38" s="28" t="s">
        <v>1054</v>
      </c>
      <c r="AB38" s="28" t="s">
        <v>1054</v>
      </c>
      <c r="AC38" s="28" t="s">
        <v>1069</v>
      </c>
      <c r="AD38" s="28" t="s">
        <v>1069</v>
      </c>
      <c r="AE38" s="28"/>
      <c r="AF38" s="28" t="s">
        <v>1069</v>
      </c>
      <c r="AG38" s="28" t="s">
        <v>1068</v>
      </c>
      <c r="AH38" s="28" t="s">
        <v>1070</v>
      </c>
      <c r="AI38" s="28"/>
      <c r="AJ38" s="28" t="s">
        <v>1070</v>
      </c>
      <c r="AK38" s="28" t="s">
        <v>1069</v>
      </c>
      <c r="AL38" s="28" t="s">
        <v>1068</v>
      </c>
      <c r="AM38" s="28" t="s">
        <v>1069</v>
      </c>
      <c r="AN38" s="28"/>
      <c r="AO38" s="28" t="s">
        <v>1069</v>
      </c>
      <c r="AP38" s="28" t="s">
        <v>1069</v>
      </c>
      <c r="AQ38" s="28" t="s">
        <v>1070</v>
      </c>
      <c r="AR38" s="28"/>
      <c r="AS38" s="28" t="s">
        <v>1068</v>
      </c>
      <c r="AT38" s="28" t="s">
        <v>1068</v>
      </c>
      <c r="AU38" s="28" t="s">
        <v>1068</v>
      </c>
      <c r="AV38" s="28" t="s">
        <v>1068</v>
      </c>
      <c r="AW38" s="28" t="s">
        <v>1068</v>
      </c>
      <c r="AX38" s="28" t="s">
        <v>1068</v>
      </c>
      <c r="AY38" s="28" t="s">
        <v>1068</v>
      </c>
      <c r="AZ38" s="28" t="s">
        <v>1068</v>
      </c>
      <c r="BA38" s="28" t="s">
        <v>1068</v>
      </c>
      <c r="BB38" s="28" t="s">
        <v>1068</v>
      </c>
      <c r="BC38" s="28" t="s">
        <v>1068</v>
      </c>
      <c r="BD38" s="28" t="s">
        <v>1068</v>
      </c>
      <c r="BE38" s="28" t="s">
        <v>1068</v>
      </c>
      <c r="BF38" s="28" t="s">
        <v>1068</v>
      </c>
      <c r="BG38" s="28" t="s">
        <v>1068</v>
      </c>
      <c r="BH38" s="28" t="s">
        <v>1068</v>
      </c>
      <c r="BI38" s="28" t="s">
        <v>1068</v>
      </c>
      <c r="BJ38" s="28" t="s">
        <v>1068</v>
      </c>
      <c r="BK38" s="28" t="s">
        <v>1068</v>
      </c>
      <c r="BL38" s="28" t="s">
        <v>1068</v>
      </c>
      <c r="BM38" s="28" t="s">
        <v>1068</v>
      </c>
      <c r="BN38" s="28" t="s">
        <v>1068</v>
      </c>
      <c r="BO38" s="28" t="s">
        <v>1068</v>
      </c>
      <c r="BP38" s="28" t="s">
        <v>1068</v>
      </c>
      <c r="BQ38" s="28" t="s">
        <v>1068</v>
      </c>
      <c r="BR38" s="28" t="s">
        <v>1068</v>
      </c>
      <c r="BS38" s="28" t="s">
        <v>1068</v>
      </c>
      <c r="BT38" s="28" t="s">
        <v>1068</v>
      </c>
      <c r="BU38" s="28" t="s">
        <v>1068</v>
      </c>
      <c r="BV38" s="28" t="s">
        <v>1068</v>
      </c>
      <c r="BW38" s="28" t="s">
        <v>1068</v>
      </c>
      <c r="BX38" s="28" t="s">
        <v>1068</v>
      </c>
      <c r="BY38" s="28" t="s">
        <v>1068</v>
      </c>
      <c r="BZ38" s="28" t="s">
        <v>1068</v>
      </c>
      <c r="CA38" s="28" t="s">
        <v>1068</v>
      </c>
      <c r="CB38" s="28" t="s">
        <v>1068</v>
      </c>
      <c r="CC38" s="28" t="s">
        <v>1068</v>
      </c>
      <c r="CD38" s="28" t="s">
        <v>1068</v>
      </c>
      <c r="CE38" s="28" t="s">
        <v>1068</v>
      </c>
      <c r="CF38" s="28" t="s">
        <v>1068</v>
      </c>
      <c r="CG38" s="28" t="s">
        <v>1068</v>
      </c>
      <c r="CH38" s="28" t="s">
        <v>1068</v>
      </c>
      <c r="CI38" s="28" t="s">
        <v>1068</v>
      </c>
      <c r="CJ38" s="28" t="s">
        <v>1068</v>
      </c>
      <c r="CK38" s="28" t="s">
        <v>1068</v>
      </c>
      <c r="CL38" s="28" t="s">
        <v>1068</v>
      </c>
      <c r="CM38" s="28" t="s">
        <v>1068</v>
      </c>
      <c r="CN38" s="28" t="s">
        <v>1068</v>
      </c>
      <c r="CO38" s="28" t="s">
        <v>1068</v>
      </c>
      <c r="CP38" s="28" t="s">
        <v>1068</v>
      </c>
      <c r="CQ38" s="28" t="s">
        <v>1068</v>
      </c>
      <c r="CR38" s="28"/>
      <c r="CS38" s="28" t="s">
        <v>1071</v>
      </c>
      <c r="CT38" s="28" t="s">
        <v>1060</v>
      </c>
      <c r="CU38" s="28" t="s">
        <v>1058</v>
      </c>
      <c r="CV38" s="28" t="s">
        <v>1059</v>
      </c>
      <c r="CW38" s="28"/>
      <c r="CX38" s="28" t="s">
        <v>1070</v>
      </c>
      <c r="CY38" s="28" t="s">
        <v>1069</v>
      </c>
      <c r="CZ38" s="28" t="s">
        <v>1069</v>
      </c>
      <c r="DA38" s="28" t="s">
        <v>1072</v>
      </c>
      <c r="DB38" s="28" t="s">
        <v>1068</v>
      </c>
      <c r="DC38" s="28" t="s">
        <v>1068</v>
      </c>
      <c r="DD38" s="28" t="s">
        <v>1068</v>
      </c>
      <c r="DE38" s="28"/>
      <c r="DF38" s="12">
        <v>37</v>
      </c>
      <c r="DH38" s="97">
        <v>7</v>
      </c>
      <c r="DI38" s="12" t="s">
        <v>1239</v>
      </c>
      <c r="DJ38" s="43">
        <v>0</v>
      </c>
      <c r="DK38" s="12">
        <v>-25</v>
      </c>
      <c r="DL38" s="12">
        <v>4</v>
      </c>
      <c r="DM38" s="12">
        <v>0</v>
      </c>
      <c r="DN38" s="98">
        <v>1</v>
      </c>
      <c r="DQ38" s="35">
        <v>35</v>
      </c>
      <c r="DR38" s="21">
        <v>38</v>
      </c>
      <c r="DS38" s="21">
        <v>63</v>
      </c>
      <c r="DT38" s="32">
        <v>25</v>
      </c>
      <c r="DU38" s="21">
        <v>100</v>
      </c>
      <c r="DV38" s="31">
        <f t="shared" si="112"/>
        <v>135</v>
      </c>
      <c r="DW38" s="30">
        <f t="shared" si="113"/>
        <v>165</v>
      </c>
      <c r="DX38" s="36">
        <v>25</v>
      </c>
      <c r="DY38" s="23">
        <v>105</v>
      </c>
      <c r="DZ38" s="12">
        <v>36</v>
      </c>
      <c r="EA38" s="12">
        <f t="shared" si="85"/>
        <v>238</v>
      </c>
      <c r="EB38" s="12">
        <f t="shared" si="86"/>
        <v>214</v>
      </c>
      <c r="EC38" s="12">
        <f t="shared" si="87"/>
        <v>204</v>
      </c>
      <c r="ED38" s="12">
        <f t="shared" si="88"/>
        <v>178</v>
      </c>
      <c r="EE38" s="12">
        <f t="shared" si="89"/>
        <v>162</v>
      </c>
      <c r="EF38" s="12">
        <f t="shared" si="90"/>
        <v>156</v>
      </c>
      <c r="EG38" s="12">
        <f t="shared" si="91"/>
        <v>146</v>
      </c>
      <c r="EH38" s="12">
        <f t="shared" si="92"/>
        <v>146</v>
      </c>
      <c r="EI38" s="12">
        <f t="shared" si="93"/>
        <v>136</v>
      </c>
      <c r="EJ38" s="12">
        <f t="shared" si="94"/>
        <v>126</v>
      </c>
      <c r="EK38" s="12">
        <f t="shared" si="95"/>
        <v>168</v>
      </c>
      <c r="EL38" s="12">
        <f t="shared" si="96"/>
        <v>146</v>
      </c>
      <c r="EM38" s="12">
        <f t="shared" si="97"/>
        <v>136</v>
      </c>
      <c r="EN38" s="12">
        <f t="shared" si="98"/>
        <v>142</v>
      </c>
      <c r="EO38" s="12">
        <f t="shared" si="99"/>
        <v>126</v>
      </c>
      <c r="EP38" s="12">
        <f t="shared" si="100"/>
        <v>116</v>
      </c>
      <c r="EQ38" s="12">
        <f t="shared" si="101"/>
        <v>106</v>
      </c>
      <c r="ER38" s="12">
        <f t="shared" si="102"/>
        <v>132</v>
      </c>
      <c r="ES38" s="12">
        <f t="shared" si="103"/>
        <v>112</v>
      </c>
      <c r="ET38" s="12">
        <f t="shared" si="104"/>
        <v>96</v>
      </c>
      <c r="EU38" s="12">
        <f t="shared" si="105"/>
        <v>102</v>
      </c>
      <c r="EV38" s="12">
        <f t="shared" si="106"/>
        <v>96</v>
      </c>
      <c r="EW38" s="12">
        <f t="shared" si="107"/>
        <v>76</v>
      </c>
      <c r="EX38" s="12">
        <f t="shared" si="108"/>
        <v>66</v>
      </c>
      <c r="EY38" s="12">
        <f t="shared" si="109"/>
        <v>46</v>
      </c>
      <c r="EZ38" s="12">
        <v>38</v>
      </c>
      <c r="FD38" s="12">
        <f>Skills!K185</f>
        <v>-7.01</v>
      </c>
      <c r="FE38" s="12" t="str">
        <f>Skills!B185</f>
        <v>Sweeps 3</v>
      </c>
      <c r="FH38" s="12">
        <v>1300000</v>
      </c>
      <c r="FI38" s="12">
        <v>36</v>
      </c>
      <c r="FJ38" s="12">
        <v>1300000</v>
      </c>
    </row>
    <row r="39" spans="1:166" ht="13.35" customHeight="1" thickBot="1" x14ac:dyDescent="0.25">
      <c r="A39" s="21">
        <f t="shared" si="110"/>
        <v>38</v>
      </c>
      <c r="B39" s="21">
        <v>0</v>
      </c>
      <c r="C39" s="21">
        <f t="shared" si="111"/>
        <v>38</v>
      </c>
      <c r="D39" s="12">
        <v>105</v>
      </c>
      <c r="E39" s="27" t="s">
        <v>744</v>
      </c>
      <c r="F39" s="28" t="s">
        <v>1073</v>
      </c>
      <c r="G39" s="28" t="s">
        <v>1071</v>
      </c>
      <c r="H39" s="28" t="s">
        <v>1065</v>
      </c>
      <c r="I39" s="28" t="s">
        <v>1074</v>
      </c>
      <c r="J39" s="28" t="s">
        <v>1060</v>
      </c>
      <c r="K39" s="28" t="s">
        <v>1075</v>
      </c>
      <c r="L39" s="28" t="s">
        <v>1075</v>
      </c>
      <c r="M39" s="28" t="s">
        <v>1075</v>
      </c>
      <c r="N39" s="28" t="s">
        <v>1075</v>
      </c>
      <c r="O39" s="28" t="s">
        <v>1075</v>
      </c>
      <c r="P39" s="28" t="s">
        <v>1075</v>
      </c>
      <c r="Q39" s="28" t="s">
        <v>1076</v>
      </c>
      <c r="R39" s="28" t="s">
        <v>1076</v>
      </c>
      <c r="S39" s="28" t="s">
        <v>1076</v>
      </c>
      <c r="T39" s="28" t="s">
        <v>1077</v>
      </c>
      <c r="U39" s="28" t="s">
        <v>1077</v>
      </c>
      <c r="V39" s="28" t="s">
        <v>1077</v>
      </c>
      <c r="W39" s="28" t="s">
        <v>1077</v>
      </c>
      <c r="X39" s="28" t="s">
        <v>1077</v>
      </c>
      <c r="Y39" s="28" t="s">
        <v>1077</v>
      </c>
      <c r="Z39" s="28"/>
      <c r="AA39" s="28" t="s">
        <v>1053</v>
      </c>
      <c r="AB39" s="28" t="s">
        <v>1053</v>
      </c>
      <c r="AC39" s="28" t="s">
        <v>1076</v>
      </c>
      <c r="AD39" s="28" t="s">
        <v>1076</v>
      </c>
      <c r="AE39" s="28"/>
      <c r="AF39" s="28" t="s">
        <v>1076</v>
      </c>
      <c r="AG39" s="28" t="s">
        <v>1075</v>
      </c>
      <c r="AH39" s="28" t="s">
        <v>1077</v>
      </c>
      <c r="AI39" s="28"/>
      <c r="AJ39" s="28" t="s">
        <v>1077</v>
      </c>
      <c r="AK39" s="28" t="s">
        <v>1076</v>
      </c>
      <c r="AL39" s="28" t="s">
        <v>1075</v>
      </c>
      <c r="AM39" s="28" t="s">
        <v>1076</v>
      </c>
      <c r="AN39" s="28"/>
      <c r="AO39" s="28" t="s">
        <v>1076</v>
      </c>
      <c r="AP39" s="28" t="s">
        <v>1076</v>
      </c>
      <c r="AQ39" s="28" t="s">
        <v>1077</v>
      </c>
      <c r="AR39" s="28"/>
      <c r="AS39" s="28" t="s">
        <v>1075</v>
      </c>
      <c r="AT39" s="28" t="s">
        <v>1075</v>
      </c>
      <c r="AU39" s="28" t="s">
        <v>1075</v>
      </c>
      <c r="AV39" s="28" t="s">
        <v>1075</v>
      </c>
      <c r="AW39" s="28" t="s">
        <v>1075</v>
      </c>
      <c r="AX39" s="28" t="s">
        <v>1075</v>
      </c>
      <c r="AY39" s="28" t="s">
        <v>1075</v>
      </c>
      <c r="AZ39" s="28" t="s">
        <v>1075</v>
      </c>
      <c r="BA39" s="28" t="s">
        <v>1075</v>
      </c>
      <c r="BB39" s="28" t="s">
        <v>1075</v>
      </c>
      <c r="BC39" s="28" t="s">
        <v>1075</v>
      </c>
      <c r="BD39" s="28" t="s">
        <v>1075</v>
      </c>
      <c r="BE39" s="28" t="s">
        <v>1075</v>
      </c>
      <c r="BF39" s="28" t="s">
        <v>1075</v>
      </c>
      <c r="BG39" s="28" t="s">
        <v>1075</v>
      </c>
      <c r="BH39" s="28" t="s">
        <v>1075</v>
      </c>
      <c r="BI39" s="28" t="s">
        <v>1075</v>
      </c>
      <c r="BJ39" s="28" t="s">
        <v>1075</v>
      </c>
      <c r="BK39" s="28" t="s">
        <v>1075</v>
      </c>
      <c r="BL39" s="28" t="s">
        <v>1075</v>
      </c>
      <c r="BM39" s="28" t="s">
        <v>1075</v>
      </c>
      <c r="BN39" s="28" t="s">
        <v>1075</v>
      </c>
      <c r="BO39" s="28" t="s">
        <v>1075</v>
      </c>
      <c r="BP39" s="28" t="s">
        <v>1075</v>
      </c>
      <c r="BQ39" s="28" t="s">
        <v>1075</v>
      </c>
      <c r="BR39" s="28" t="s">
        <v>1075</v>
      </c>
      <c r="BS39" s="28" t="s">
        <v>1075</v>
      </c>
      <c r="BT39" s="28" t="s">
        <v>1075</v>
      </c>
      <c r="BU39" s="28" t="s">
        <v>1075</v>
      </c>
      <c r="BV39" s="28" t="s">
        <v>1075</v>
      </c>
      <c r="BW39" s="28" t="s">
        <v>1075</v>
      </c>
      <c r="BX39" s="28" t="s">
        <v>1075</v>
      </c>
      <c r="BY39" s="28" t="s">
        <v>1075</v>
      </c>
      <c r="BZ39" s="28" t="s">
        <v>1075</v>
      </c>
      <c r="CA39" s="28" t="s">
        <v>1075</v>
      </c>
      <c r="CB39" s="28" t="s">
        <v>1075</v>
      </c>
      <c r="CC39" s="28" t="s">
        <v>1075</v>
      </c>
      <c r="CD39" s="28" t="s">
        <v>1075</v>
      </c>
      <c r="CE39" s="28" t="s">
        <v>1075</v>
      </c>
      <c r="CF39" s="28" t="s">
        <v>1075</v>
      </c>
      <c r="CG39" s="28" t="s">
        <v>1075</v>
      </c>
      <c r="CH39" s="28" t="s">
        <v>1075</v>
      </c>
      <c r="CI39" s="28" t="s">
        <v>1075</v>
      </c>
      <c r="CJ39" s="28" t="s">
        <v>1075</v>
      </c>
      <c r="CK39" s="28" t="s">
        <v>1075</v>
      </c>
      <c r="CL39" s="28" t="s">
        <v>1075</v>
      </c>
      <c r="CM39" s="28" t="s">
        <v>1075</v>
      </c>
      <c r="CN39" s="28" t="s">
        <v>1075</v>
      </c>
      <c r="CO39" s="28" t="s">
        <v>1075</v>
      </c>
      <c r="CP39" s="28" t="s">
        <v>1075</v>
      </c>
      <c r="CQ39" s="28" t="s">
        <v>1075</v>
      </c>
      <c r="CR39" s="28"/>
      <c r="CS39" s="28" t="s">
        <v>1062</v>
      </c>
      <c r="CT39" s="28" t="s">
        <v>1071</v>
      </c>
      <c r="CU39" s="28" t="s">
        <v>1078</v>
      </c>
      <c r="CV39" s="28" t="s">
        <v>1065</v>
      </c>
      <c r="CW39" s="28"/>
      <c r="CX39" s="28" t="s">
        <v>1077</v>
      </c>
      <c r="CY39" s="28" t="s">
        <v>1076</v>
      </c>
      <c r="CZ39" s="28" t="s">
        <v>1076</v>
      </c>
      <c r="DA39" s="28" t="s">
        <v>1079</v>
      </c>
      <c r="DB39" s="28" t="s">
        <v>1075</v>
      </c>
      <c r="DC39" s="28" t="s">
        <v>1075</v>
      </c>
      <c r="DD39" s="28" t="s">
        <v>1075</v>
      </c>
      <c r="DE39" s="28"/>
      <c r="DF39" s="12">
        <v>38</v>
      </c>
      <c r="DH39" s="97">
        <v>8</v>
      </c>
      <c r="DI39" s="12" t="s">
        <v>1248</v>
      </c>
      <c r="DJ39" s="43">
        <v>-4</v>
      </c>
      <c r="DK39" s="12">
        <v>-34</v>
      </c>
      <c r="DL39" s="12">
        <v>4</v>
      </c>
      <c r="DM39" s="12">
        <v>4</v>
      </c>
      <c r="DN39" s="98">
        <v>1</v>
      </c>
      <c r="DQ39" s="35">
        <v>36</v>
      </c>
      <c r="DR39" s="21">
        <v>38</v>
      </c>
      <c r="DS39" s="21">
        <v>63</v>
      </c>
      <c r="DT39" s="32">
        <v>25</v>
      </c>
      <c r="DU39" s="21">
        <v>101</v>
      </c>
      <c r="DV39" s="31">
        <f t="shared" si="112"/>
        <v>136</v>
      </c>
      <c r="DW39" s="30">
        <f t="shared" si="113"/>
        <v>168</v>
      </c>
      <c r="DX39" s="36">
        <v>25</v>
      </c>
      <c r="DY39" s="23">
        <v>106</v>
      </c>
      <c r="DZ39" s="12">
        <v>37</v>
      </c>
      <c r="EA39" s="12">
        <f t="shared" si="85"/>
        <v>241</v>
      </c>
      <c r="EB39" s="12">
        <f t="shared" si="86"/>
        <v>218</v>
      </c>
      <c r="EC39" s="12">
        <f t="shared" si="87"/>
        <v>208</v>
      </c>
      <c r="ED39" s="12">
        <f t="shared" si="88"/>
        <v>181</v>
      </c>
      <c r="EE39" s="12">
        <f t="shared" si="89"/>
        <v>164</v>
      </c>
      <c r="EF39" s="12">
        <f t="shared" si="90"/>
        <v>157</v>
      </c>
      <c r="EG39" s="12">
        <f t="shared" si="91"/>
        <v>147</v>
      </c>
      <c r="EH39" s="12">
        <f t="shared" si="92"/>
        <v>147</v>
      </c>
      <c r="EI39" s="12">
        <f t="shared" si="93"/>
        <v>137</v>
      </c>
      <c r="EJ39" s="12">
        <f t="shared" si="94"/>
        <v>127</v>
      </c>
      <c r="EK39" s="12">
        <f t="shared" si="95"/>
        <v>171</v>
      </c>
      <c r="EL39" s="12">
        <f t="shared" si="96"/>
        <v>147</v>
      </c>
      <c r="EM39" s="12">
        <f t="shared" si="97"/>
        <v>137</v>
      </c>
      <c r="EN39" s="12">
        <f t="shared" si="98"/>
        <v>144</v>
      </c>
      <c r="EO39" s="12">
        <f t="shared" si="99"/>
        <v>127</v>
      </c>
      <c r="EP39" s="12">
        <f t="shared" si="100"/>
        <v>117</v>
      </c>
      <c r="EQ39" s="12">
        <f t="shared" si="101"/>
        <v>107</v>
      </c>
      <c r="ER39" s="12">
        <f t="shared" si="102"/>
        <v>134</v>
      </c>
      <c r="ES39" s="12">
        <f t="shared" si="103"/>
        <v>114</v>
      </c>
      <c r="ET39" s="12">
        <f t="shared" si="104"/>
        <v>97</v>
      </c>
      <c r="EU39" s="12">
        <f t="shared" si="105"/>
        <v>104</v>
      </c>
      <c r="EV39" s="12">
        <f t="shared" si="106"/>
        <v>97</v>
      </c>
      <c r="EW39" s="12">
        <f t="shared" si="107"/>
        <v>77</v>
      </c>
      <c r="EX39" s="12">
        <f t="shared" si="108"/>
        <v>67</v>
      </c>
      <c r="EY39" s="12">
        <f t="shared" si="109"/>
        <v>47</v>
      </c>
      <c r="EZ39" s="12">
        <v>39</v>
      </c>
      <c r="FH39" s="12">
        <v>1350000</v>
      </c>
      <c r="FI39" s="12">
        <v>37</v>
      </c>
      <c r="FJ39" s="12">
        <v>1350000</v>
      </c>
    </row>
    <row r="40" spans="1:166" ht="13.35" customHeight="1" thickBot="1" x14ac:dyDescent="0.25">
      <c r="A40" s="21">
        <f t="shared" si="110"/>
        <v>39</v>
      </c>
      <c r="B40" s="21">
        <v>0</v>
      </c>
      <c r="C40" s="21">
        <f t="shared" si="111"/>
        <v>39</v>
      </c>
      <c r="D40" s="12">
        <v>25</v>
      </c>
      <c r="E40" s="27" t="s">
        <v>731</v>
      </c>
      <c r="F40" s="28" t="s">
        <v>1076</v>
      </c>
      <c r="G40" s="28" t="s">
        <v>1080</v>
      </c>
      <c r="H40" s="28" t="s">
        <v>1081</v>
      </c>
      <c r="I40" s="28" t="s">
        <v>1075</v>
      </c>
      <c r="J40" s="28" t="s">
        <v>1082</v>
      </c>
      <c r="K40" s="28" t="s">
        <v>1083</v>
      </c>
      <c r="L40" s="28" t="s">
        <v>1083</v>
      </c>
      <c r="M40" s="28" t="s">
        <v>1083</v>
      </c>
      <c r="N40" s="28" t="s">
        <v>1083</v>
      </c>
      <c r="O40" s="28" t="s">
        <v>1083</v>
      </c>
      <c r="P40" s="28" t="s">
        <v>1083</v>
      </c>
      <c r="Q40" s="28" t="s">
        <v>1083</v>
      </c>
      <c r="R40" s="28" t="s">
        <v>1083</v>
      </c>
      <c r="S40" s="28" t="s">
        <v>1083</v>
      </c>
      <c r="T40" s="28" t="s">
        <v>1084</v>
      </c>
      <c r="U40" s="28" t="s">
        <v>1084</v>
      </c>
      <c r="V40" s="28" t="s">
        <v>1084</v>
      </c>
      <c r="W40" s="28" t="s">
        <v>1084</v>
      </c>
      <c r="X40" s="28" t="s">
        <v>1084</v>
      </c>
      <c r="Y40" s="28" t="s">
        <v>1084</v>
      </c>
      <c r="Z40" s="28"/>
      <c r="AA40" s="28" t="s">
        <v>909</v>
      </c>
      <c r="AB40" s="28" t="s">
        <v>909</v>
      </c>
      <c r="AC40" s="28" t="s">
        <v>1083</v>
      </c>
      <c r="AD40" s="28" t="s">
        <v>1083</v>
      </c>
      <c r="AE40" s="28"/>
      <c r="AF40" s="28" t="s">
        <v>1083</v>
      </c>
      <c r="AG40" s="28" t="s">
        <v>1083</v>
      </c>
      <c r="AH40" s="28" t="s">
        <v>1084</v>
      </c>
      <c r="AI40" s="28"/>
      <c r="AJ40" s="28" t="s">
        <v>1084</v>
      </c>
      <c r="AK40" s="28" t="s">
        <v>1083</v>
      </c>
      <c r="AL40" s="28" t="s">
        <v>1083</v>
      </c>
      <c r="AM40" s="28" t="s">
        <v>1083</v>
      </c>
      <c r="AN40" s="28"/>
      <c r="AO40" s="28" t="s">
        <v>1083</v>
      </c>
      <c r="AP40" s="28" t="s">
        <v>1083</v>
      </c>
      <c r="AQ40" s="28" t="s">
        <v>1084</v>
      </c>
      <c r="AR40" s="28"/>
      <c r="AS40" s="28" t="s">
        <v>1083</v>
      </c>
      <c r="AT40" s="28" t="s">
        <v>1083</v>
      </c>
      <c r="AU40" s="28" t="s">
        <v>1083</v>
      </c>
      <c r="AV40" s="28" t="s">
        <v>1083</v>
      </c>
      <c r="AW40" s="28" t="s">
        <v>1083</v>
      </c>
      <c r="AX40" s="28" t="s">
        <v>1083</v>
      </c>
      <c r="AY40" s="28" t="s">
        <v>1083</v>
      </c>
      <c r="AZ40" s="28" t="s">
        <v>1083</v>
      </c>
      <c r="BA40" s="28" t="s">
        <v>1083</v>
      </c>
      <c r="BB40" s="28" t="s">
        <v>1083</v>
      </c>
      <c r="BC40" s="28" t="s">
        <v>1083</v>
      </c>
      <c r="BD40" s="28" t="s">
        <v>1083</v>
      </c>
      <c r="BE40" s="28" t="s">
        <v>1083</v>
      </c>
      <c r="BF40" s="28" t="s">
        <v>1083</v>
      </c>
      <c r="BG40" s="28" t="s">
        <v>1083</v>
      </c>
      <c r="BH40" s="28" t="s">
        <v>1083</v>
      </c>
      <c r="BI40" s="28" t="s">
        <v>1083</v>
      </c>
      <c r="BJ40" s="28" t="s">
        <v>1083</v>
      </c>
      <c r="BK40" s="28" t="s">
        <v>1083</v>
      </c>
      <c r="BL40" s="28" t="s">
        <v>1083</v>
      </c>
      <c r="BM40" s="28" t="s">
        <v>1083</v>
      </c>
      <c r="BN40" s="28" t="s">
        <v>1083</v>
      </c>
      <c r="BO40" s="28" t="s">
        <v>1083</v>
      </c>
      <c r="BP40" s="28" t="s">
        <v>1083</v>
      </c>
      <c r="BQ40" s="28" t="s">
        <v>1083</v>
      </c>
      <c r="BR40" s="28" t="s">
        <v>1083</v>
      </c>
      <c r="BS40" s="28" t="s">
        <v>1083</v>
      </c>
      <c r="BT40" s="28" t="s">
        <v>1083</v>
      </c>
      <c r="BU40" s="28" t="s">
        <v>1083</v>
      </c>
      <c r="BV40" s="28" t="s">
        <v>1083</v>
      </c>
      <c r="BW40" s="28" t="s">
        <v>1083</v>
      </c>
      <c r="BX40" s="28" t="s">
        <v>1083</v>
      </c>
      <c r="BY40" s="28" t="s">
        <v>1083</v>
      </c>
      <c r="BZ40" s="28" t="s">
        <v>1083</v>
      </c>
      <c r="CA40" s="28" t="s">
        <v>1083</v>
      </c>
      <c r="CB40" s="28" t="s">
        <v>1083</v>
      </c>
      <c r="CC40" s="28" t="s">
        <v>1083</v>
      </c>
      <c r="CD40" s="28" t="s">
        <v>1083</v>
      </c>
      <c r="CE40" s="28" t="s">
        <v>1083</v>
      </c>
      <c r="CF40" s="28" t="s">
        <v>1083</v>
      </c>
      <c r="CG40" s="28" t="s">
        <v>1083</v>
      </c>
      <c r="CH40" s="28" t="s">
        <v>1083</v>
      </c>
      <c r="CI40" s="28" t="s">
        <v>1083</v>
      </c>
      <c r="CJ40" s="28" t="s">
        <v>1083</v>
      </c>
      <c r="CK40" s="28" t="s">
        <v>1083</v>
      </c>
      <c r="CL40" s="28" t="s">
        <v>1083</v>
      </c>
      <c r="CM40" s="28" t="s">
        <v>1083</v>
      </c>
      <c r="CN40" s="28" t="s">
        <v>1083</v>
      </c>
      <c r="CO40" s="28" t="s">
        <v>1083</v>
      </c>
      <c r="CP40" s="28" t="s">
        <v>1083</v>
      </c>
      <c r="CQ40" s="28" t="s">
        <v>1083</v>
      </c>
      <c r="CR40" s="28"/>
      <c r="CS40" s="28" t="s">
        <v>1085</v>
      </c>
      <c r="CT40" s="28" t="s">
        <v>1080</v>
      </c>
      <c r="CU40" s="28" t="s">
        <v>1069</v>
      </c>
      <c r="CV40" s="28" t="s">
        <v>1081</v>
      </c>
      <c r="CW40" s="28"/>
      <c r="CX40" s="28" t="s">
        <v>1084</v>
      </c>
      <c r="CY40" s="28" t="s">
        <v>1083</v>
      </c>
      <c r="CZ40" s="28" t="s">
        <v>1083</v>
      </c>
      <c r="DA40" s="28" t="s">
        <v>1050</v>
      </c>
      <c r="DB40" s="28" t="s">
        <v>1083</v>
      </c>
      <c r="DC40" s="28" t="s">
        <v>1083</v>
      </c>
      <c r="DD40" s="28" t="s">
        <v>1083</v>
      </c>
      <c r="DE40" s="28"/>
      <c r="DF40" s="12">
        <v>39</v>
      </c>
      <c r="DH40" s="97">
        <v>9</v>
      </c>
      <c r="DI40" s="12" t="s">
        <v>1252</v>
      </c>
      <c r="DJ40" s="43">
        <v>0</v>
      </c>
      <c r="DK40" s="12">
        <v>-34</v>
      </c>
      <c r="DL40" s="12">
        <v>0</v>
      </c>
      <c r="DM40" s="12">
        <v>0</v>
      </c>
      <c r="DN40" s="98">
        <v>2</v>
      </c>
      <c r="DQ40" s="35">
        <v>37</v>
      </c>
      <c r="DR40" s="21">
        <v>39</v>
      </c>
      <c r="DS40" s="21">
        <v>64</v>
      </c>
      <c r="DT40" s="32">
        <v>25</v>
      </c>
      <c r="DU40" s="21">
        <v>102</v>
      </c>
      <c r="DV40" s="31">
        <f t="shared" si="112"/>
        <v>137</v>
      </c>
      <c r="DW40" s="30">
        <f t="shared" si="113"/>
        <v>171</v>
      </c>
      <c r="DX40" s="36">
        <v>25</v>
      </c>
      <c r="DY40" s="23">
        <v>107</v>
      </c>
      <c r="DZ40" s="12">
        <v>38</v>
      </c>
      <c r="EA40" s="12">
        <f t="shared" si="85"/>
        <v>244</v>
      </c>
      <c r="EB40" s="12">
        <f t="shared" si="86"/>
        <v>222</v>
      </c>
      <c r="EC40" s="12">
        <f t="shared" si="87"/>
        <v>212</v>
      </c>
      <c r="ED40" s="12">
        <f t="shared" si="88"/>
        <v>184</v>
      </c>
      <c r="EE40" s="12">
        <f t="shared" si="89"/>
        <v>166</v>
      </c>
      <c r="EF40" s="12">
        <f t="shared" si="90"/>
        <v>158</v>
      </c>
      <c r="EG40" s="12">
        <f t="shared" si="91"/>
        <v>148</v>
      </c>
      <c r="EH40" s="12">
        <f t="shared" si="92"/>
        <v>148</v>
      </c>
      <c r="EI40" s="12">
        <f t="shared" si="93"/>
        <v>138</v>
      </c>
      <c r="EJ40" s="12">
        <f t="shared" si="94"/>
        <v>128</v>
      </c>
      <c r="EK40" s="12">
        <f t="shared" si="95"/>
        <v>174</v>
      </c>
      <c r="EL40" s="12">
        <f t="shared" si="96"/>
        <v>148</v>
      </c>
      <c r="EM40" s="12">
        <f t="shared" si="97"/>
        <v>138</v>
      </c>
      <c r="EN40" s="12">
        <f t="shared" si="98"/>
        <v>146</v>
      </c>
      <c r="EO40" s="12">
        <f t="shared" si="99"/>
        <v>128</v>
      </c>
      <c r="EP40" s="12">
        <f t="shared" si="100"/>
        <v>118</v>
      </c>
      <c r="EQ40" s="12">
        <f t="shared" si="101"/>
        <v>108</v>
      </c>
      <c r="ER40" s="12">
        <f t="shared" si="102"/>
        <v>136</v>
      </c>
      <c r="ES40" s="12">
        <f t="shared" si="103"/>
        <v>116</v>
      </c>
      <c r="ET40" s="12">
        <f t="shared" si="104"/>
        <v>98</v>
      </c>
      <c r="EU40" s="12">
        <f t="shared" si="105"/>
        <v>106</v>
      </c>
      <c r="EV40" s="12">
        <f t="shared" si="106"/>
        <v>98</v>
      </c>
      <c r="EW40" s="12">
        <f t="shared" si="107"/>
        <v>78</v>
      </c>
      <c r="EX40" s="12">
        <f t="shared" si="108"/>
        <v>68</v>
      </c>
      <c r="EY40" s="12">
        <f t="shared" si="109"/>
        <v>48</v>
      </c>
      <c r="EZ40" s="12">
        <v>40</v>
      </c>
      <c r="FD40" s="12">
        <f>Skills!K177</f>
        <v>-7.01</v>
      </c>
      <c r="FE40" s="12" t="str">
        <f>Skills!B177</f>
        <v>Strikes 4</v>
      </c>
      <c r="FH40" s="12">
        <v>1400000</v>
      </c>
      <c r="FI40" s="12">
        <v>38</v>
      </c>
      <c r="FJ40" s="12">
        <v>1400000</v>
      </c>
    </row>
    <row r="41" spans="1:166" ht="13.35" customHeight="1" thickBot="1" x14ac:dyDescent="0.25">
      <c r="A41" s="21">
        <f t="shared" si="110"/>
        <v>40</v>
      </c>
      <c r="B41" s="21">
        <v>0</v>
      </c>
      <c r="C41" s="21">
        <f t="shared" si="111"/>
        <v>40</v>
      </c>
      <c r="D41" s="12">
        <v>40</v>
      </c>
      <c r="E41" s="27" t="s">
        <v>733</v>
      </c>
      <c r="F41" s="28" t="s">
        <v>1067</v>
      </c>
      <c r="G41" s="28" t="s">
        <v>1086</v>
      </c>
      <c r="H41" s="28" t="s">
        <v>1076</v>
      </c>
      <c r="I41" s="28" t="s">
        <v>1070</v>
      </c>
      <c r="J41" s="28" t="s">
        <v>1081</v>
      </c>
      <c r="K41" s="28" t="s">
        <v>1083</v>
      </c>
      <c r="L41" s="28" t="s">
        <v>1083</v>
      </c>
      <c r="M41" s="28" t="s">
        <v>1083</v>
      </c>
      <c r="N41" s="28" t="s">
        <v>1083</v>
      </c>
      <c r="O41" s="28" t="s">
        <v>1083</v>
      </c>
      <c r="P41" s="28" t="s">
        <v>1083</v>
      </c>
      <c r="Q41" s="28" t="s">
        <v>1083</v>
      </c>
      <c r="R41" s="28" t="s">
        <v>1083</v>
      </c>
      <c r="S41" s="28" t="s">
        <v>1083</v>
      </c>
      <c r="T41" s="28" t="s">
        <v>1068</v>
      </c>
      <c r="U41" s="28" t="s">
        <v>1068</v>
      </c>
      <c r="V41" s="28" t="s">
        <v>1068</v>
      </c>
      <c r="W41" s="28" t="s">
        <v>1068</v>
      </c>
      <c r="X41" s="28" t="s">
        <v>1068</v>
      </c>
      <c r="Y41" s="28" t="s">
        <v>1068</v>
      </c>
      <c r="Z41" s="28"/>
      <c r="AA41" s="28" t="s">
        <v>909</v>
      </c>
      <c r="AB41" s="28" t="s">
        <v>909</v>
      </c>
      <c r="AC41" s="28" t="s">
        <v>1083</v>
      </c>
      <c r="AD41" s="28" t="s">
        <v>1083</v>
      </c>
      <c r="AE41" s="28"/>
      <c r="AF41" s="28" t="s">
        <v>1083</v>
      </c>
      <c r="AG41" s="28" t="s">
        <v>1083</v>
      </c>
      <c r="AH41" s="28" t="s">
        <v>1068</v>
      </c>
      <c r="AI41" s="28"/>
      <c r="AJ41" s="28" t="s">
        <v>1068</v>
      </c>
      <c r="AK41" s="28" t="s">
        <v>1083</v>
      </c>
      <c r="AL41" s="28" t="s">
        <v>1083</v>
      </c>
      <c r="AM41" s="28" t="s">
        <v>1083</v>
      </c>
      <c r="AN41" s="28"/>
      <c r="AO41" s="28" t="s">
        <v>1083</v>
      </c>
      <c r="AP41" s="28" t="s">
        <v>1083</v>
      </c>
      <c r="AQ41" s="28" t="s">
        <v>1068</v>
      </c>
      <c r="AR41" s="28"/>
      <c r="AS41" s="28" t="s">
        <v>1083</v>
      </c>
      <c r="AT41" s="28" t="s">
        <v>1083</v>
      </c>
      <c r="AU41" s="28" t="s">
        <v>1083</v>
      </c>
      <c r="AV41" s="28" t="s">
        <v>1083</v>
      </c>
      <c r="AW41" s="28" t="s">
        <v>1083</v>
      </c>
      <c r="AX41" s="28" t="s">
        <v>1083</v>
      </c>
      <c r="AY41" s="28" t="s">
        <v>1083</v>
      </c>
      <c r="AZ41" s="28" t="s">
        <v>1083</v>
      </c>
      <c r="BA41" s="28" t="s">
        <v>1083</v>
      </c>
      <c r="BB41" s="28" t="s">
        <v>1083</v>
      </c>
      <c r="BC41" s="28" t="s">
        <v>1083</v>
      </c>
      <c r="BD41" s="28" t="s">
        <v>1083</v>
      </c>
      <c r="BE41" s="28" t="s">
        <v>1083</v>
      </c>
      <c r="BF41" s="28" t="s">
        <v>1083</v>
      </c>
      <c r="BG41" s="28" t="s">
        <v>1083</v>
      </c>
      <c r="BH41" s="28" t="s">
        <v>1083</v>
      </c>
      <c r="BI41" s="28" t="s">
        <v>1083</v>
      </c>
      <c r="BJ41" s="28" t="s">
        <v>1083</v>
      </c>
      <c r="BK41" s="28" t="s">
        <v>1083</v>
      </c>
      <c r="BL41" s="28" t="s">
        <v>1083</v>
      </c>
      <c r="BM41" s="28" t="s">
        <v>1083</v>
      </c>
      <c r="BN41" s="28" t="s">
        <v>1083</v>
      </c>
      <c r="BO41" s="28" t="s">
        <v>1083</v>
      </c>
      <c r="BP41" s="28" t="s">
        <v>1083</v>
      </c>
      <c r="BQ41" s="28" t="s">
        <v>1083</v>
      </c>
      <c r="BR41" s="28" t="s">
        <v>1083</v>
      </c>
      <c r="BS41" s="28" t="s">
        <v>1083</v>
      </c>
      <c r="BT41" s="28" t="s">
        <v>1083</v>
      </c>
      <c r="BU41" s="28" t="s">
        <v>1083</v>
      </c>
      <c r="BV41" s="28" t="s">
        <v>1083</v>
      </c>
      <c r="BW41" s="28" t="s">
        <v>1083</v>
      </c>
      <c r="BX41" s="28" t="s">
        <v>1083</v>
      </c>
      <c r="BY41" s="28" t="s">
        <v>1083</v>
      </c>
      <c r="BZ41" s="28" t="s">
        <v>1083</v>
      </c>
      <c r="CA41" s="28" t="s">
        <v>1083</v>
      </c>
      <c r="CB41" s="28" t="s">
        <v>1083</v>
      </c>
      <c r="CC41" s="28" t="s">
        <v>1083</v>
      </c>
      <c r="CD41" s="28" t="s">
        <v>1083</v>
      </c>
      <c r="CE41" s="28" t="s">
        <v>1083</v>
      </c>
      <c r="CF41" s="28" t="s">
        <v>1083</v>
      </c>
      <c r="CG41" s="28" t="s">
        <v>1083</v>
      </c>
      <c r="CH41" s="28" t="s">
        <v>1083</v>
      </c>
      <c r="CI41" s="28" t="s">
        <v>1083</v>
      </c>
      <c r="CJ41" s="28" t="s">
        <v>1083</v>
      </c>
      <c r="CK41" s="28" t="s">
        <v>1083</v>
      </c>
      <c r="CL41" s="28" t="s">
        <v>1083</v>
      </c>
      <c r="CM41" s="28" t="s">
        <v>1083</v>
      </c>
      <c r="CN41" s="28" t="s">
        <v>1083</v>
      </c>
      <c r="CO41" s="28" t="s">
        <v>1083</v>
      </c>
      <c r="CP41" s="28" t="s">
        <v>1083</v>
      </c>
      <c r="CQ41" s="28" t="s">
        <v>1083</v>
      </c>
      <c r="CR41" s="28"/>
      <c r="CS41" s="28" t="s">
        <v>1077</v>
      </c>
      <c r="CT41" s="28" t="s">
        <v>1086</v>
      </c>
      <c r="CU41" s="28" t="s">
        <v>1075</v>
      </c>
      <c r="CV41" s="28" t="s">
        <v>1076</v>
      </c>
      <c r="CW41" s="28"/>
      <c r="CX41" s="28" t="s">
        <v>1068</v>
      </c>
      <c r="CY41" s="28" t="s">
        <v>1083</v>
      </c>
      <c r="CZ41" s="28" t="s">
        <v>1083</v>
      </c>
      <c r="DA41" s="28" t="s">
        <v>1049</v>
      </c>
      <c r="DB41" s="28" t="s">
        <v>1083</v>
      </c>
      <c r="DC41" s="28" t="s">
        <v>1083</v>
      </c>
      <c r="DD41" s="28" t="s">
        <v>1083</v>
      </c>
      <c r="DE41" s="28"/>
      <c r="DF41" s="12">
        <v>40</v>
      </c>
      <c r="DH41" s="97">
        <v>10</v>
      </c>
      <c r="DI41" s="12" t="s">
        <v>1255</v>
      </c>
      <c r="DJ41" s="43">
        <v>0</v>
      </c>
      <c r="DK41" s="12">
        <v>-51</v>
      </c>
      <c r="DL41" s="12">
        <v>0</v>
      </c>
      <c r="DM41" s="12">
        <v>0</v>
      </c>
      <c r="DN41" s="98">
        <v>2</v>
      </c>
      <c r="DQ41" s="35">
        <v>38</v>
      </c>
      <c r="DR41" s="21">
        <v>39</v>
      </c>
      <c r="DS41" s="21">
        <v>64</v>
      </c>
      <c r="DT41" s="32">
        <v>25</v>
      </c>
      <c r="DU41" s="21">
        <v>103</v>
      </c>
      <c r="DV41" s="31">
        <f t="shared" si="112"/>
        <v>138</v>
      </c>
      <c r="DW41" s="30">
        <f t="shared" si="113"/>
        <v>174</v>
      </c>
      <c r="DX41" s="36">
        <v>25</v>
      </c>
      <c r="DY41" s="23">
        <v>108</v>
      </c>
      <c r="DZ41" s="12">
        <v>39</v>
      </c>
      <c r="EA41" s="12">
        <f t="shared" si="85"/>
        <v>247</v>
      </c>
      <c r="EB41" s="12">
        <f t="shared" si="86"/>
        <v>226</v>
      </c>
      <c r="EC41" s="12">
        <f t="shared" si="87"/>
        <v>216</v>
      </c>
      <c r="ED41" s="12">
        <f t="shared" si="88"/>
        <v>187</v>
      </c>
      <c r="EE41" s="12">
        <f t="shared" si="89"/>
        <v>168</v>
      </c>
      <c r="EF41" s="12">
        <f t="shared" si="90"/>
        <v>159</v>
      </c>
      <c r="EG41" s="12">
        <f t="shared" si="91"/>
        <v>149</v>
      </c>
      <c r="EH41" s="12">
        <f t="shared" si="92"/>
        <v>149</v>
      </c>
      <c r="EI41" s="12">
        <f t="shared" si="93"/>
        <v>139</v>
      </c>
      <c r="EJ41" s="12">
        <f t="shared" si="94"/>
        <v>129</v>
      </c>
      <c r="EK41" s="12">
        <f t="shared" si="95"/>
        <v>177</v>
      </c>
      <c r="EL41" s="12">
        <f t="shared" si="96"/>
        <v>149</v>
      </c>
      <c r="EM41" s="12">
        <f t="shared" si="97"/>
        <v>139</v>
      </c>
      <c r="EN41" s="12">
        <f t="shared" si="98"/>
        <v>148</v>
      </c>
      <c r="EO41" s="12">
        <f t="shared" si="99"/>
        <v>129</v>
      </c>
      <c r="EP41" s="12">
        <f t="shared" si="100"/>
        <v>119</v>
      </c>
      <c r="EQ41" s="12">
        <f t="shared" si="101"/>
        <v>109</v>
      </c>
      <c r="ER41" s="12">
        <f t="shared" si="102"/>
        <v>138</v>
      </c>
      <c r="ES41" s="12">
        <f t="shared" si="103"/>
        <v>118</v>
      </c>
      <c r="ET41" s="12">
        <f t="shared" si="104"/>
        <v>99</v>
      </c>
      <c r="EU41" s="12">
        <f t="shared" si="105"/>
        <v>108</v>
      </c>
      <c r="EV41" s="12">
        <f t="shared" si="106"/>
        <v>99</v>
      </c>
      <c r="EW41" s="12">
        <f t="shared" si="107"/>
        <v>79</v>
      </c>
      <c r="EX41" s="12">
        <f t="shared" si="108"/>
        <v>69</v>
      </c>
      <c r="EY41" s="12">
        <f t="shared" si="109"/>
        <v>49</v>
      </c>
      <c r="EZ41" s="12">
        <v>41</v>
      </c>
      <c r="FD41" s="12">
        <f>Skills!K178</f>
        <v>-7.01</v>
      </c>
      <c r="FE41" s="12" t="str">
        <f>Skills!B178</f>
        <v>Strikes 3</v>
      </c>
      <c r="FH41" s="12">
        <v>1450000</v>
      </c>
      <c r="FI41" s="12">
        <v>39</v>
      </c>
      <c r="FJ41" s="12">
        <v>1450000</v>
      </c>
    </row>
    <row r="42" spans="1:166" ht="13.35" customHeight="1" thickBot="1" x14ac:dyDescent="0.25">
      <c r="A42" s="21">
        <f t="shared" si="110"/>
        <v>41</v>
      </c>
      <c r="B42" s="21">
        <v>0</v>
      </c>
      <c r="C42" s="21">
        <f t="shared" si="111"/>
        <v>41</v>
      </c>
      <c r="D42" s="12">
        <v>80</v>
      </c>
      <c r="E42" s="27" t="s">
        <v>735</v>
      </c>
      <c r="F42" s="28" t="s">
        <v>1060</v>
      </c>
      <c r="G42" s="28" t="s">
        <v>1066</v>
      </c>
      <c r="H42" s="28" t="s">
        <v>1058</v>
      </c>
      <c r="I42" s="28" t="s">
        <v>1059</v>
      </c>
      <c r="J42" s="28" t="s">
        <v>1070</v>
      </c>
      <c r="K42" s="28" t="s">
        <v>1084</v>
      </c>
      <c r="L42" s="28" t="s">
        <v>1084</v>
      </c>
      <c r="M42" s="28" t="s">
        <v>1084</v>
      </c>
      <c r="N42" s="28" t="s">
        <v>1084</v>
      </c>
      <c r="O42" s="28" t="s">
        <v>1084</v>
      </c>
      <c r="P42" s="28" t="s">
        <v>1084</v>
      </c>
      <c r="Q42" s="28" t="s">
        <v>1068</v>
      </c>
      <c r="R42" s="28" t="s">
        <v>1068</v>
      </c>
      <c r="S42" s="28" t="s">
        <v>1068</v>
      </c>
      <c r="T42" s="28" t="s">
        <v>1076</v>
      </c>
      <c r="U42" s="28" t="s">
        <v>1076</v>
      </c>
      <c r="V42" s="28" t="s">
        <v>1076</v>
      </c>
      <c r="W42" s="28" t="s">
        <v>1076</v>
      </c>
      <c r="X42" s="28" t="s">
        <v>1076</v>
      </c>
      <c r="Y42" s="28" t="s">
        <v>1076</v>
      </c>
      <c r="Z42" s="28"/>
      <c r="AA42" s="28" t="s">
        <v>1087</v>
      </c>
      <c r="AB42" s="28" t="s">
        <v>1087</v>
      </c>
      <c r="AC42" s="28" t="s">
        <v>1068</v>
      </c>
      <c r="AD42" s="28" t="s">
        <v>1068</v>
      </c>
      <c r="AE42" s="28"/>
      <c r="AF42" s="28" t="s">
        <v>1068</v>
      </c>
      <c r="AG42" s="28" t="s">
        <v>1084</v>
      </c>
      <c r="AH42" s="28" t="s">
        <v>1076</v>
      </c>
      <c r="AI42" s="28"/>
      <c r="AJ42" s="28" t="s">
        <v>1076</v>
      </c>
      <c r="AK42" s="28" t="s">
        <v>1068</v>
      </c>
      <c r="AL42" s="28" t="s">
        <v>1084</v>
      </c>
      <c r="AM42" s="28" t="s">
        <v>1068</v>
      </c>
      <c r="AN42" s="28"/>
      <c r="AO42" s="28" t="s">
        <v>1068</v>
      </c>
      <c r="AP42" s="28" t="s">
        <v>1068</v>
      </c>
      <c r="AQ42" s="28" t="s">
        <v>1076</v>
      </c>
      <c r="AR42" s="28"/>
      <c r="AS42" s="28" t="s">
        <v>1084</v>
      </c>
      <c r="AT42" s="28" t="s">
        <v>1084</v>
      </c>
      <c r="AU42" s="28" t="s">
        <v>1084</v>
      </c>
      <c r="AV42" s="28" t="s">
        <v>1084</v>
      </c>
      <c r="AW42" s="28" t="s">
        <v>1084</v>
      </c>
      <c r="AX42" s="28" t="s">
        <v>1084</v>
      </c>
      <c r="AY42" s="28" t="s">
        <v>1084</v>
      </c>
      <c r="AZ42" s="28" t="s">
        <v>1084</v>
      </c>
      <c r="BA42" s="28" t="s">
        <v>1084</v>
      </c>
      <c r="BB42" s="28" t="s">
        <v>1084</v>
      </c>
      <c r="BC42" s="28" t="s">
        <v>1084</v>
      </c>
      <c r="BD42" s="28" t="s">
        <v>1084</v>
      </c>
      <c r="BE42" s="28" t="s">
        <v>1084</v>
      </c>
      <c r="BF42" s="28" t="s">
        <v>1084</v>
      </c>
      <c r="BG42" s="28" t="s">
        <v>1084</v>
      </c>
      <c r="BH42" s="28" t="s">
        <v>1084</v>
      </c>
      <c r="BI42" s="28" t="s">
        <v>1084</v>
      </c>
      <c r="BJ42" s="28" t="s">
        <v>1084</v>
      </c>
      <c r="BK42" s="28" t="s">
        <v>1084</v>
      </c>
      <c r="BL42" s="28" t="s">
        <v>1084</v>
      </c>
      <c r="BM42" s="28" t="s">
        <v>1084</v>
      </c>
      <c r="BN42" s="28" t="s">
        <v>1084</v>
      </c>
      <c r="BO42" s="28" t="s">
        <v>1084</v>
      </c>
      <c r="BP42" s="28" t="s">
        <v>1084</v>
      </c>
      <c r="BQ42" s="28" t="s">
        <v>1084</v>
      </c>
      <c r="BR42" s="28" t="s">
        <v>1084</v>
      </c>
      <c r="BS42" s="28" t="s">
        <v>1084</v>
      </c>
      <c r="BT42" s="28" t="s">
        <v>1084</v>
      </c>
      <c r="BU42" s="28" t="s">
        <v>1084</v>
      </c>
      <c r="BV42" s="28" t="s">
        <v>1084</v>
      </c>
      <c r="BW42" s="28" t="s">
        <v>1084</v>
      </c>
      <c r="BX42" s="28" t="s">
        <v>1084</v>
      </c>
      <c r="BY42" s="28" t="s">
        <v>1084</v>
      </c>
      <c r="BZ42" s="28" t="s">
        <v>1084</v>
      </c>
      <c r="CA42" s="28" t="s">
        <v>1084</v>
      </c>
      <c r="CB42" s="28" t="s">
        <v>1084</v>
      </c>
      <c r="CC42" s="28" t="s">
        <v>1084</v>
      </c>
      <c r="CD42" s="28" t="s">
        <v>1084</v>
      </c>
      <c r="CE42" s="28" t="s">
        <v>1084</v>
      </c>
      <c r="CF42" s="28" t="s">
        <v>1084</v>
      </c>
      <c r="CG42" s="28" t="s">
        <v>1084</v>
      </c>
      <c r="CH42" s="28" t="s">
        <v>1084</v>
      </c>
      <c r="CI42" s="28" t="s">
        <v>1084</v>
      </c>
      <c r="CJ42" s="28" t="s">
        <v>1084</v>
      </c>
      <c r="CK42" s="28" t="s">
        <v>1084</v>
      </c>
      <c r="CL42" s="28" t="s">
        <v>1084</v>
      </c>
      <c r="CM42" s="28" t="s">
        <v>1084</v>
      </c>
      <c r="CN42" s="28" t="s">
        <v>1084</v>
      </c>
      <c r="CO42" s="28" t="s">
        <v>1084</v>
      </c>
      <c r="CP42" s="28" t="s">
        <v>1084</v>
      </c>
      <c r="CQ42" s="28" t="s">
        <v>1084</v>
      </c>
      <c r="CR42" s="28"/>
      <c r="CS42" s="28" t="s">
        <v>1065</v>
      </c>
      <c r="CT42" s="28" t="s">
        <v>1066</v>
      </c>
      <c r="CU42" s="28" t="s">
        <v>1067</v>
      </c>
      <c r="CV42" s="28" t="s">
        <v>1058</v>
      </c>
      <c r="CW42" s="28"/>
      <c r="CX42" s="28" t="s">
        <v>1076</v>
      </c>
      <c r="CY42" s="28" t="s">
        <v>1068</v>
      </c>
      <c r="CZ42" s="28" t="s">
        <v>1068</v>
      </c>
      <c r="DA42" s="28" t="s">
        <v>1088</v>
      </c>
      <c r="DB42" s="28" t="s">
        <v>1084</v>
      </c>
      <c r="DC42" s="28" t="s">
        <v>1084</v>
      </c>
      <c r="DD42" s="28" t="s">
        <v>1084</v>
      </c>
      <c r="DE42" s="28"/>
      <c r="DF42" s="12">
        <v>41</v>
      </c>
      <c r="DH42" s="97">
        <v>11</v>
      </c>
      <c r="DI42" s="12" t="s">
        <v>1259</v>
      </c>
      <c r="DJ42" s="43">
        <v>-4</v>
      </c>
      <c r="DK42" s="12">
        <v>-68</v>
      </c>
      <c r="DL42" s="12">
        <v>8</v>
      </c>
      <c r="DM42" s="12">
        <v>4</v>
      </c>
      <c r="DN42" s="98">
        <v>2</v>
      </c>
      <c r="DQ42" s="35">
        <v>39</v>
      </c>
      <c r="DR42" s="21">
        <v>40</v>
      </c>
      <c r="DS42" s="21">
        <v>65</v>
      </c>
      <c r="DT42" s="32">
        <v>25</v>
      </c>
      <c r="DU42" s="21">
        <v>104</v>
      </c>
      <c r="DV42" s="31">
        <f t="shared" si="112"/>
        <v>139</v>
      </c>
      <c r="DW42" s="30">
        <f t="shared" si="113"/>
        <v>177</v>
      </c>
      <c r="DX42" s="36">
        <v>25</v>
      </c>
      <c r="DY42" s="23">
        <v>109</v>
      </c>
      <c r="DZ42" s="20">
        <v>40</v>
      </c>
      <c r="EA42" s="12">
        <f t="shared" si="85"/>
        <v>250</v>
      </c>
      <c r="EB42" s="78">
        <f t="shared" si="86"/>
        <v>230</v>
      </c>
      <c r="EC42" s="78">
        <f t="shared" si="87"/>
        <v>220</v>
      </c>
      <c r="ED42" s="78">
        <f t="shared" si="88"/>
        <v>190</v>
      </c>
      <c r="EE42" s="78">
        <f t="shared" si="89"/>
        <v>170</v>
      </c>
      <c r="EF42" s="78">
        <f t="shared" si="90"/>
        <v>160</v>
      </c>
      <c r="EG42" s="78">
        <f t="shared" si="91"/>
        <v>150</v>
      </c>
      <c r="EH42" s="78">
        <f t="shared" si="92"/>
        <v>150</v>
      </c>
      <c r="EI42" s="78">
        <f t="shared" si="93"/>
        <v>140</v>
      </c>
      <c r="EJ42" s="78">
        <f t="shared" si="94"/>
        <v>130</v>
      </c>
      <c r="EK42" s="78">
        <f t="shared" si="95"/>
        <v>180</v>
      </c>
      <c r="EL42" s="78">
        <f t="shared" si="96"/>
        <v>150</v>
      </c>
      <c r="EM42" s="78">
        <f t="shared" si="97"/>
        <v>140</v>
      </c>
      <c r="EN42" s="78">
        <f t="shared" si="98"/>
        <v>150</v>
      </c>
      <c r="EO42" s="78">
        <f t="shared" si="99"/>
        <v>130</v>
      </c>
      <c r="EP42" s="78">
        <f t="shared" si="100"/>
        <v>120</v>
      </c>
      <c r="EQ42" s="78">
        <f t="shared" si="101"/>
        <v>110</v>
      </c>
      <c r="ER42" s="78">
        <f t="shared" si="102"/>
        <v>140</v>
      </c>
      <c r="ES42" s="78">
        <f t="shared" si="103"/>
        <v>120</v>
      </c>
      <c r="ET42" s="78">
        <f t="shared" si="104"/>
        <v>100</v>
      </c>
      <c r="EU42" s="78">
        <f t="shared" si="105"/>
        <v>110</v>
      </c>
      <c r="EV42" s="78">
        <f t="shared" si="106"/>
        <v>100</v>
      </c>
      <c r="EW42" s="78">
        <f t="shared" si="107"/>
        <v>80</v>
      </c>
      <c r="EX42" s="78">
        <f t="shared" si="108"/>
        <v>70</v>
      </c>
      <c r="EY42" s="78">
        <f t="shared" si="109"/>
        <v>50</v>
      </c>
      <c r="EZ42" s="78">
        <v>42</v>
      </c>
      <c r="FD42" s="12">
        <f>Skills!K179</f>
        <v>-5.01</v>
      </c>
      <c r="FE42" s="12" t="str">
        <f>Skills!B179</f>
        <v>Strikes 2</v>
      </c>
      <c r="FH42" s="12">
        <v>1500000</v>
      </c>
      <c r="FI42" s="12">
        <v>40</v>
      </c>
      <c r="FJ42" s="12">
        <v>1500000</v>
      </c>
    </row>
    <row r="43" spans="1:166" ht="13.35" customHeight="1" thickBot="1" x14ac:dyDescent="0.25">
      <c r="A43" s="21">
        <f t="shared" si="110"/>
        <v>42</v>
      </c>
      <c r="B43" s="21">
        <v>0</v>
      </c>
      <c r="C43" s="21">
        <f t="shared" si="111"/>
        <v>42</v>
      </c>
      <c r="E43" s="27" t="s">
        <v>734</v>
      </c>
      <c r="F43" s="28" t="s">
        <v>1055</v>
      </c>
      <c r="G43" s="28" t="s">
        <v>1055</v>
      </c>
      <c r="H43" s="28" t="s">
        <v>1055</v>
      </c>
      <c r="I43" s="28" t="s">
        <v>1055</v>
      </c>
      <c r="J43" s="28" t="s">
        <v>1055</v>
      </c>
      <c r="K43" s="28" t="s">
        <v>910</v>
      </c>
      <c r="L43" s="28" t="s">
        <v>910</v>
      </c>
      <c r="M43" s="28" t="s">
        <v>910</v>
      </c>
      <c r="N43" s="28" t="s">
        <v>910</v>
      </c>
      <c r="O43" s="28" t="s">
        <v>910</v>
      </c>
      <c r="P43" s="28" t="s">
        <v>910</v>
      </c>
      <c r="Q43" s="28" t="s">
        <v>910</v>
      </c>
      <c r="R43" s="28" t="s">
        <v>910</v>
      </c>
      <c r="S43" s="28" t="s">
        <v>910</v>
      </c>
      <c r="T43" s="28" t="s">
        <v>915</v>
      </c>
      <c r="U43" s="28" t="s">
        <v>915</v>
      </c>
      <c r="V43" s="28" t="s">
        <v>915</v>
      </c>
      <c r="W43" s="28" t="s">
        <v>915</v>
      </c>
      <c r="X43" s="28" t="s">
        <v>915</v>
      </c>
      <c r="Y43" s="28" t="s">
        <v>915</v>
      </c>
      <c r="Z43" s="28"/>
      <c r="AA43" s="28" t="s">
        <v>910</v>
      </c>
      <c r="AB43" s="28" t="s">
        <v>910</v>
      </c>
      <c r="AC43" s="28" t="s">
        <v>915</v>
      </c>
      <c r="AD43" s="28" t="s">
        <v>915</v>
      </c>
      <c r="AE43" s="28"/>
      <c r="AF43" s="28" t="s">
        <v>910</v>
      </c>
      <c r="AG43" s="28" t="s">
        <v>910</v>
      </c>
      <c r="AH43" s="28" t="s">
        <v>915</v>
      </c>
      <c r="AI43" s="28"/>
      <c r="AJ43" s="28" t="s">
        <v>915</v>
      </c>
      <c r="AK43" s="28" t="s">
        <v>910</v>
      </c>
      <c r="AL43" s="28" t="s">
        <v>910</v>
      </c>
      <c r="AM43" s="28" t="s">
        <v>910</v>
      </c>
      <c r="AN43" s="28"/>
      <c r="AO43" s="28" t="s">
        <v>910</v>
      </c>
      <c r="AP43" s="28" t="s">
        <v>910</v>
      </c>
      <c r="AQ43" s="28" t="s">
        <v>915</v>
      </c>
      <c r="AR43" s="28"/>
      <c r="AS43" s="28" t="s">
        <v>910</v>
      </c>
      <c r="AT43" s="28" t="s">
        <v>910</v>
      </c>
      <c r="AU43" s="28" t="s">
        <v>910</v>
      </c>
      <c r="AV43" s="28" t="s">
        <v>910</v>
      </c>
      <c r="AW43" s="28" t="s">
        <v>910</v>
      </c>
      <c r="AX43" s="28" t="s">
        <v>910</v>
      </c>
      <c r="AY43" s="28" t="s">
        <v>910</v>
      </c>
      <c r="AZ43" s="28" t="s">
        <v>910</v>
      </c>
      <c r="BA43" s="28" t="s">
        <v>910</v>
      </c>
      <c r="BB43" s="28" t="s">
        <v>910</v>
      </c>
      <c r="BC43" s="28" t="s">
        <v>910</v>
      </c>
      <c r="BD43" s="28" t="s">
        <v>910</v>
      </c>
      <c r="BE43" s="28" t="s">
        <v>910</v>
      </c>
      <c r="BF43" s="28" t="s">
        <v>910</v>
      </c>
      <c r="BG43" s="28" t="s">
        <v>910</v>
      </c>
      <c r="BH43" s="28" t="s">
        <v>910</v>
      </c>
      <c r="BI43" s="28" t="s">
        <v>910</v>
      </c>
      <c r="BJ43" s="28" t="s">
        <v>910</v>
      </c>
      <c r="BK43" s="28" t="s">
        <v>910</v>
      </c>
      <c r="BL43" s="28" t="s">
        <v>910</v>
      </c>
      <c r="BM43" s="28" t="s">
        <v>910</v>
      </c>
      <c r="BN43" s="28" t="s">
        <v>910</v>
      </c>
      <c r="BO43" s="28" t="s">
        <v>910</v>
      </c>
      <c r="BP43" s="28" t="s">
        <v>910</v>
      </c>
      <c r="BQ43" s="28" t="s">
        <v>910</v>
      </c>
      <c r="BR43" s="28" t="s">
        <v>910</v>
      </c>
      <c r="BS43" s="28" t="s">
        <v>910</v>
      </c>
      <c r="BT43" s="28" t="s">
        <v>910</v>
      </c>
      <c r="BU43" s="28" t="s">
        <v>910</v>
      </c>
      <c r="BV43" s="28" t="s">
        <v>910</v>
      </c>
      <c r="BW43" s="28" t="s">
        <v>910</v>
      </c>
      <c r="BX43" s="28" t="s">
        <v>910</v>
      </c>
      <c r="BY43" s="28" t="s">
        <v>910</v>
      </c>
      <c r="BZ43" s="28" t="s">
        <v>910</v>
      </c>
      <c r="CA43" s="28" t="s">
        <v>910</v>
      </c>
      <c r="CB43" s="28" t="s">
        <v>910</v>
      </c>
      <c r="CC43" s="28" t="s">
        <v>910</v>
      </c>
      <c r="CD43" s="28" t="s">
        <v>910</v>
      </c>
      <c r="CE43" s="28" t="s">
        <v>910</v>
      </c>
      <c r="CF43" s="28" t="s">
        <v>910</v>
      </c>
      <c r="CG43" s="28" t="s">
        <v>910</v>
      </c>
      <c r="CH43" s="28" t="s">
        <v>910</v>
      </c>
      <c r="CI43" s="28" t="s">
        <v>910</v>
      </c>
      <c r="CJ43" s="28" t="s">
        <v>910</v>
      </c>
      <c r="CK43" s="28" t="s">
        <v>910</v>
      </c>
      <c r="CL43" s="28" t="s">
        <v>910</v>
      </c>
      <c r="CM43" s="28" t="s">
        <v>910</v>
      </c>
      <c r="CN43" s="28" t="s">
        <v>910</v>
      </c>
      <c r="CO43" s="28" t="s">
        <v>910</v>
      </c>
      <c r="CP43" s="28" t="s">
        <v>910</v>
      </c>
      <c r="CQ43" s="28" t="s">
        <v>910</v>
      </c>
      <c r="CR43" s="28"/>
      <c r="CS43" s="28" t="s">
        <v>1055</v>
      </c>
      <c r="CT43" s="28" t="s">
        <v>1055</v>
      </c>
      <c r="CU43" s="28" t="s">
        <v>1055</v>
      </c>
      <c r="CV43" s="28" t="s">
        <v>1055</v>
      </c>
      <c r="CW43" s="28"/>
      <c r="CX43" s="28" t="s">
        <v>915</v>
      </c>
      <c r="CY43" s="28" t="s">
        <v>910</v>
      </c>
      <c r="CZ43" s="28" t="s">
        <v>910</v>
      </c>
      <c r="DA43" s="28" t="s">
        <v>1055</v>
      </c>
      <c r="DB43" s="28" t="s">
        <v>910</v>
      </c>
      <c r="DC43" s="28" t="s">
        <v>910</v>
      </c>
      <c r="DD43" s="28" t="s">
        <v>910</v>
      </c>
      <c r="DE43" s="28"/>
      <c r="DF43" s="12">
        <v>42</v>
      </c>
      <c r="DH43" s="97">
        <v>12</v>
      </c>
      <c r="DI43" s="12" t="s">
        <v>1265</v>
      </c>
      <c r="DJ43" s="43">
        <v>-4</v>
      </c>
      <c r="DK43" s="12">
        <v>-85</v>
      </c>
      <c r="DL43" s="12">
        <v>17</v>
      </c>
      <c r="DM43" s="12">
        <v>4</v>
      </c>
      <c r="DN43" s="98">
        <v>2</v>
      </c>
      <c r="DQ43" s="35">
        <v>40</v>
      </c>
      <c r="DR43" s="21">
        <v>40</v>
      </c>
      <c r="DS43" s="21">
        <v>65</v>
      </c>
      <c r="DT43" s="32">
        <v>25</v>
      </c>
      <c r="DU43" s="21">
        <v>105</v>
      </c>
      <c r="DV43" s="31">
        <f t="shared" si="112"/>
        <v>140</v>
      </c>
      <c r="DW43" s="30">
        <f t="shared" si="113"/>
        <v>180</v>
      </c>
      <c r="DX43" s="36">
        <v>25</v>
      </c>
      <c r="DY43" s="23">
        <v>110</v>
      </c>
      <c r="DZ43" s="12">
        <v>41</v>
      </c>
      <c r="EA43" s="12">
        <f t="shared" si="85"/>
        <v>253</v>
      </c>
      <c r="EB43" s="12">
        <f t="shared" si="86"/>
        <v>234</v>
      </c>
      <c r="EC43" s="12">
        <f t="shared" si="87"/>
        <v>224</v>
      </c>
      <c r="ED43" s="12">
        <f t="shared" si="88"/>
        <v>193</v>
      </c>
      <c r="EE43" s="12">
        <f t="shared" si="89"/>
        <v>172</v>
      </c>
      <c r="EF43" s="12">
        <f t="shared" si="90"/>
        <v>161</v>
      </c>
      <c r="EG43" s="12">
        <f t="shared" si="91"/>
        <v>151</v>
      </c>
      <c r="EH43" s="12">
        <f t="shared" si="92"/>
        <v>151</v>
      </c>
      <c r="EI43" s="12">
        <f t="shared" si="93"/>
        <v>141</v>
      </c>
      <c r="EJ43" s="12">
        <f t="shared" si="94"/>
        <v>131</v>
      </c>
      <c r="EK43" s="12">
        <f t="shared" si="95"/>
        <v>183</v>
      </c>
      <c r="EL43" s="12">
        <f t="shared" si="96"/>
        <v>151</v>
      </c>
      <c r="EM43" s="12">
        <f t="shared" si="97"/>
        <v>141</v>
      </c>
      <c r="EN43" s="12">
        <f t="shared" si="98"/>
        <v>152</v>
      </c>
      <c r="EO43" s="12">
        <f t="shared" si="99"/>
        <v>131</v>
      </c>
      <c r="EP43" s="12">
        <f t="shared" si="100"/>
        <v>121</v>
      </c>
      <c r="EQ43" s="12">
        <f t="shared" si="101"/>
        <v>111</v>
      </c>
      <c r="ER43" s="12">
        <f t="shared" si="102"/>
        <v>142</v>
      </c>
      <c r="ES43" s="12">
        <f t="shared" si="103"/>
        <v>122</v>
      </c>
      <c r="ET43" s="12">
        <f t="shared" si="104"/>
        <v>101</v>
      </c>
      <c r="EU43" s="12">
        <f t="shared" si="105"/>
        <v>112</v>
      </c>
      <c r="EV43" s="12">
        <f t="shared" si="106"/>
        <v>101</v>
      </c>
      <c r="EW43" s="12">
        <f t="shared" si="107"/>
        <v>81</v>
      </c>
      <c r="EX43" s="12">
        <f t="shared" si="108"/>
        <v>71</v>
      </c>
      <c r="EY43" s="12">
        <f t="shared" si="109"/>
        <v>51</v>
      </c>
      <c r="EZ43" s="12">
        <v>43</v>
      </c>
      <c r="FD43" s="12">
        <f>Skills!K180</f>
        <v>-5.01</v>
      </c>
      <c r="FE43" s="12" t="str">
        <f>Skills!B180</f>
        <v>Strikes 1</v>
      </c>
      <c r="FH43" s="12">
        <v>1550000</v>
      </c>
      <c r="FI43" s="12">
        <v>41</v>
      </c>
      <c r="FJ43" s="12">
        <v>1550000</v>
      </c>
    </row>
    <row r="44" spans="1:166" ht="13.35" customHeight="1" thickBot="1" x14ac:dyDescent="0.25">
      <c r="A44" s="21">
        <f t="shared" si="110"/>
        <v>43</v>
      </c>
      <c r="B44" s="21">
        <v>0</v>
      </c>
      <c r="C44" s="21">
        <f t="shared" si="111"/>
        <v>43</v>
      </c>
      <c r="E44" s="27" t="s">
        <v>641</v>
      </c>
      <c r="F44" s="28" t="s">
        <v>1089</v>
      </c>
      <c r="G44" s="28" t="s">
        <v>976</v>
      </c>
      <c r="H44" s="28" t="s">
        <v>1090</v>
      </c>
      <c r="I44" s="28" t="s">
        <v>1019</v>
      </c>
      <c r="J44" s="28" t="s">
        <v>1019</v>
      </c>
      <c r="K44" s="28" t="s">
        <v>1011</v>
      </c>
      <c r="L44" s="28" t="s">
        <v>968</v>
      </c>
      <c r="M44" s="28" t="s">
        <v>1011</v>
      </c>
      <c r="N44" s="28" t="s">
        <v>911</v>
      </c>
      <c r="O44" s="28" t="s">
        <v>1011</v>
      </c>
      <c r="P44" s="28" t="s">
        <v>1011</v>
      </c>
      <c r="Q44" s="28" t="s">
        <v>1011</v>
      </c>
      <c r="R44" s="28" t="s">
        <v>1011</v>
      </c>
      <c r="S44" s="28" t="s">
        <v>1011</v>
      </c>
      <c r="T44" s="28" t="s">
        <v>983</v>
      </c>
      <c r="U44" s="28" t="s">
        <v>1011</v>
      </c>
      <c r="V44" s="28" t="s">
        <v>969</v>
      </c>
      <c r="W44" s="28" t="s">
        <v>1019</v>
      </c>
      <c r="X44" s="28" t="s">
        <v>1012</v>
      </c>
      <c r="Y44" s="28" t="s">
        <v>1091</v>
      </c>
      <c r="Z44" s="28"/>
      <c r="AA44" s="28" t="s">
        <v>1014</v>
      </c>
      <c r="AB44" s="28" t="s">
        <v>1014</v>
      </c>
      <c r="AC44" s="28" t="s">
        <v>911</v>
      </c>
      <c r="AD44" s="28" t="s">
        <v>1013</v>
      </c>
      <c r="AE44" s="28"/>
      <c r="AF44" s="28" t="s">
        <v>1012</v>
      </c>
      <c r="AG44" s="28" t="s">
        <v>1012</v>
      </c>
      <c r="AH44" s="28" t="s">
        <v>969</v>
      </c>
      <c r="AI44" s="28"/>
      <c r="AJ44" s="28" t="s">
        <v>969</v>
      </c>
      <c r="AK44" s="28" t="s">
        <v>1014</v>
      </c>
      <c r="AL44" s="28" t="s">
        <v>1011</v>
      </c>
      <c r="AM44" s="28" t="s">
        <v>1011</v>
      </c>
      <c r="AN44" s="28"/>
      <c r="AO44" s="28" t="s">
        <v>1011</v>
      </c>
      <c r="AP44" s="28" t="s">
        <v>1011</v>
      </c>
      <c r="AQ44" s="28" t="s">
        <v>1019</v>
      </c>
      <c r="AR44" s="28"/>
      <c r="AS44" s="28" t="s">
        <v>1011</v>
      </c>
      <c r="AT44" s="28" t="s">
        <v>1011</v>
      </c>
      <c r="AU44" s="28" t="s">
        <v>1011</v>
      </c>
      <c r="AV44" s="28" t="s">
        <v>1011</v>
      </c>
      <c r="AW44" s="28" t="s">
        <v>1011</v>
      </c>
      <c r="AX44" s="28" t="s">
        <v>1011</v>
      </c>
      <c r="AY44" s="28" t="s">
        <v>1011</v>
      </c>
      <c r="AZ44" s="28" t="s">
        <v>1011</v>
      </c>
      <c r="BA44" s="28" t="s">
        <v>1011</v>
      </c>
      <c r="BB44" s="28" t="s">
        <v>1011</v>
      </c>
      <c r="BC44" s="28" t="s">
        <v>1011</v>
      </c>
      <c r="BD44" s="28" t="s">
        <v>1011</v>
      </c>
      <c r="BE44" s="28" t="s">
        <v>1011</v>
      </c>
      <c r="BF44" s="28" t="s">
        <v>1011</v>
      </c>
      <c r="BG44" s="28" t="s">
        <v>1011</v>
      </c>
      <c r="BH44" s="28" t="s">
        <v>1011</v>
      </c>
      <c r="BI44" s="28" t="s">
        <v>1011</v>
      </c>
      <c r="BJ44" s="28" t="s">
        <v>1011</v>
      </c>
      <c r="BK44" s="28" t="s">
        <v>1011</v>
      </c>
      <c r="BL44" s="28" t="s">
        <v>1011</v>
      </c>
      <c r="BM44" s="28" t="s">
        <v>1011</v>
      </c>
      <c r="BN44" s="28" t="s">
        <v>1011</v>
      </c>
      <c r="BO44" s="28" t="s">
        <v>1011</v>
      </c>
      <c r="BP44" s="28" t="s">
        <v>1011</v>
      </c>
      <c r="BQ44" s="28" t="s">
        <v>1011</v>
      </c>
      <c r="BR44" s="28" t="s">
        <v>1011</v>
      </c>
      <c r="BS44" s="28" t="s">
        <v>1011</v>
      </c>
      <c r="BT44" s="28" t="s">
        <v>1011</v>
      </c>
      <c r="BU44" s="28" t="s">
        <v>1011</v>
      </c>
      <c r="BV44" s="28" t="s">
        <v>1011</v>
      </c>
      <c r="BW44" s="28" t="s">
        <v>1011</v>
      </c>
      <c r="BX44" s="28" t="s">
        <v>1011</v>
      </c>
      <c r="BY44" s="28" t="s">
        <v>1011</v>
      </c>
      <c r="BZ44" s="28" t="s">
        <v>1011</v>
      </c>
      <c r="CA44" s="28" t="s">
        <v>1011</v>
      </c>
      <c r="CB44" s="28" t="s">
        <v>1011</v>
      </c>
      <c r="CC44" s="28" t="s">
        <v>1011</v>
      </c>
      <c r="CD44" s="28" t="s">
        <v>1011</v>
      </c>
      <c r="CE44" s="28" t="s">
        <v>1011</v>
      </c>
      <c r="CF44" s="28" t="s">
        <v>1011</v>
      </c>
      <c r="CG44" s="28" t="s">
        <v>1011</v>
      </c>
      <c r="CH44" s="28" t="s">
        <v>1011</v>
      </c>
      <c r="CI44" s="28" t="s">
        <v>1011</v>
      </c>
      <c r="CJ44" s="28" t="s">
        <v>1011</v>
      </c>
      <c r="CK44" s="28" t="s">
        <v>1011</v>
      </c>
      <c r="CL44" s="28" t="s">
        <v>1011</v>
      </c>
      <c r="CM44" s="28" t="s">
        <v>1011</v>
      </c>
      <c r="CN44" s="28" t="s">
        <v>1011</v>
      </c>
      <c r="CO44" s="28" t="s">
        <v>1011</v>
      </c>
      <c r="CP44" s="28" t="s">
        <v>1011</v>
      </c>
      <c r="CQ44" s="28" t="s">
        <v>1011</v>
      </c>
      <c r="CR44" s="28"/>
      <c r="CS44" s="28" t="s">
        <v>988</v>
      </c>
      <c r="CT44" s="28" t="s">
        <v>988</v>
      </c>
      <c r="CU44" s="28" t="s">
        <v>1019</v>
      </c>
      <c r="CV44" s="28" t="s">
        <v>1090</v>
      </c>
      <c r="CW44" s="28"/>
      <c r="CX44" s="28" t="s">
        <v>1011</v>
      </c>
      <c r="CY44" s="28" t="s">
        <v>1011</v>
      </c>
      <c r="CZ44" s="28" t="s">
        <v>911</v>
      </c>
      <c r="DA44" s="28" t="s">
        <v>988</v>
      </c>
      <c r="DB44" s="28" t="s">
        <v>1011</v>
      </c>
      <c r="DC44" s="28" t="s">
        <v>1011</v>
      </c>
      <c r="DD44" s="28" t="s">
        <v>1011</v>
      </c>
      <c r="DE44" s="28"/>
      <c r="DF44" s="12">
        <v>43</v>
      </c>
      <c r="DH44" s="97">
        <v>13</v>
      </c>
      <c r="DI44" s="12" t="s">
        <v>1271</v>
      </c>
      <c r="DJ44" s="43">
        <v>0</v>
      </c>
      <c r="DK44" s="12">
        <v>-51</v>
      </c>
      <c r="DL44" s="12">
        <v>0</v>
      </c>
      <c r="DM44" s="12">
        <v>0</v>
      </c>
      <c r="DN44" s="98">
        <v>3</v>
      </c>
      <c r="DQ44" s="35">
        <v>41</v>
      </c>
      <c r="DR44" s="21">
        <v>41</v>
      </c>
      <c r="DS44" s="21">
        <v>66</v>
      </c>
      <c r="DT44" s="32">
        <v>25</v>
      </c>
      <c r="DU44" s="21">
        <v>106</v>
      </c>
      <c r="DV44" s="31">
        <f t="shared" si="112"/>
        <v>141</v>
      </c>
      <c r="DW44" s="30">
        <f t="shared" si="113"/>
        <v>183</v>
      </c>
      <c r="DX44" s="36">
        <v>25</v>
      </c>
      <c r="DY44" s="23">
        <v>110.5</v>
      </c>
      <c r="DZ44" s="12">
        <v>42</v>
      </c>
      <c r="EA44" s="12">
        <f t="shared" si="85"/>
        <v>256</v>
      </c>
      <c r="EB44" s="12">
        <f t="shared" si="86"/>
        <v>238</v>
      </c>
      <c r="EC44" s="12">
        <f t="shared" si="87"/>
        <v>228</v>
      </c>
      <c r="ED44" s="12">
        <f t="shared" si="88"/>
        <v>196</v>
      </c>
      <c r="EE44" s="12">
        <f t="shared" si="89"/>
        <v>174</v>
      </c>
      <c r="EF44" s="12">
        <f t="shared" si="90"/>
        <v>162</v>
      </c>
      <c r="EG44" s="12">
        <f t="shared" si="91"/>
        <v>152</v>
      </c>
      <c r="EH44" s="12">
        <f t="shared" si="92"/>
        <v>152</v>
      </c>
      <c r="EI44" s="12">
        <f t="shared" si="93"/>
        <v>142</v>
      </c>
      <c r="EJ44" s="12">
        <f t="shared" si="94"/>
        <v>132</v>
      </c>
      <c r="EK44" s="12">
        <f t="shared" si="95"/>
        <v>186</v>
      </c>
      <c r="EL44" s="12">
        <f t="shared" si="96"/>
        <v>152</v>
      </c>
      <c r="EM44" s="12">
        <f t="shared" si="97"/>
        <v>142</v>
      </c>
      <c r="EN44" s="12">
        <f t="shared" si="98"/>
        <v>154</v>
      </c>
      <c r="EO44" s="12">
        <f t="shared" si="99"/>
        <v>132</v>
      </c>
      <c r="EP44" s="12">
        <f t="shared" si="100"/>
        <v>122</v>
      </c>
      <c r="EQ44" s="12">
        <f t="shared" si="101"/>
        <v>112</v>
      </c>
      <c r="ER44" s="12">
        <f t="shared" si="102"/>
        <v>144</v>
      </c>
      <c r="ES44" s="12">
        <f t="shared" si="103"/>
        <v>124</v>
      </c>
      <c r="ET44" s="12">
        <f t="shared" si="104"/>
        <v>102</v>
      </c>
      <c r="EU44" s="12">
        <f t="shared" si="105"/>
        <v>114</v>
      </c>
      <c r="EV44" s="12">
        <f t="shared" si="106"/>
        <v>102</v>
      </c>
      <c r="EW44" s="12">
        <f t="shared" si="107"/>
        <v>82</v>
      </c>
      <c r="EX44" s="12">
        <f t="shared" si="108"/>
        <v>72</v>
      </c>
      <c r="EY44" s="12">
        <f t="shared" si="109"/>
        <v>52</v>
      </c>
      <c r="EZ44" s="12">
        <v>44</v>
      </c>
      <c r="FH44" s="12">
        <v>1600000</v>
      </c>
      <c r="FI44" s="12">
        <v>42</v>
      </c>
      <c r="FJ44" s="12">
        <v>1600000</v>
      </c>
    </row>
    <row r="45" spans="1:166" ht="13.35" customHeight="1" thickBot="1" x14ac:dyDescent="0.25">
      <c r="A45" s="21">
        <f t="shared" si="110"/>
        <v>44</v>
      </c>
      <c r="B45" s="21">
        <v>0</v>
      </c>
      <c r="C45" s="21">
        <f t="shared" si="111"/>
        <v>44</v>
      </c>
      <c r="E45" s="27" t="s">
        <v>644</v>
      </c>
      <c r="F45" s="28" t="s">
        <v>1031</v>
      </c>
      <c r="G45" s="28" t="s">
        <v>980</v>
      </c>
      <c r="H45" s="28" t="s">
        <v>972</v>
      </c>
      <c r="I45" s="28" t="s">
        <v>988</v>
      </c>
      <c r="J45" s="28" t="s">
        <v>982</v>
      </c>
      <c r="K45" s="28" t="s">
        <v>984</v>
      </c>
      <c r="L45" s="28" t="s">
        <v>969</v>
      </c>
      <c r="M45" s="28" t="s">
        <v>984</v>
      </c>
      <c r="N45" s="28" t="s">
        <v>969</v>
      </c>
      <c r="O45" s="28" t="s">
        <v>984</v>
      </c>
      <c r="P45" s="28" t="s">
        <v>969</v>
      </c>
      <c r="Q45" s="28" t="s">
        <v>969</v>
      </c>
      <c r="R45" s="28" t="s">
        <v>984</v>
      </c>
      <c r="S45" s="28" t="s">
        <v>984</v>
      </c>
      <c r="T45" s="28" t="s">
        <v>986</v>
      </c>
      <c r="U45" s="28" t="s">
        <v>984</v>
      </c>
      <c r="V45" s="28" t="s">
        <v>986</v>
      </c>
      <c r="W45" s="28" t="s">
        <v>976</v>
      </c>
      <c r="X45" s="28" t="s">
        <v>986</v>
      </c>
      <c r="Y45" s="28" t="s">
        <v>991</v>
      </c>
      <c r="Z45" s="28"/>
      <c r="AA45" s="28" t="s">
        <v>984</v>
      </c>
      <c r="AB45" s="28" t="s">
        <v>984</v>
      </c>
      <c r="AC45" s="28" t="s">
        <v>983</v>
      </c>
      <c r="AD45" s="28" t="s">
        <v>985</v>
      </c>
      <c r="AE45" s="28"/>
      <c r="AF45" s="28" t="s">
        <v>983</v>
      </c>
      <c r="AG45" s="28" t="s">
        <v>983</v>
      </c>
      <c r="AH45" s="28" t="s">
        <v>986</v>
      </c>
      <c r="AI45" s="28"/>
      <c r="AJ45" s="28" t="s">
        <v>1019</v>
      </c>
      <c r="AK45" s="28" t="s">
        <v>969</v>
      </c>
      <c r="AL45" s="28" t="s">
        <v>913</v>
      </c>
      <c r="AM45" s="28" t="s">
        <v>984</v>
      </c>
      <c r="AN45" s="28"/>
      <c r="AO45" s="28" t="s">
        <v>984</v>
      </c>
      <c r="AP45" s="28" t="s">
        <v>984</v>
      </c>
      <c r="AQ45" s="28" t="s">
        <v>1044</v>
      </c>
      <c r="AR45" s="28"/>
      <c r="AS45" s="28" t="s">
        <v>984</v>
      </c>
      <c r="AT45" s="28" t="s">
        <v>984</v>
      </c>
      <c r="AU45" s="28" t="s">
        <v>984</v>
      </c>
      <c r="AV45" s="28" t="s">
        <v>984</v>
      </c>
      <c r="AW45" s="28" t="s">
        <v>984</v>
      </c>
      <c r="AX45" s="28" t="s">
        <v>984</v>
      </c>
      <c r="AY45" s="28" t="s">
        <v>984</v>
      </c>
      <c r="AZ45" s="28" t="s">
        <v>984</v>
      </c>
      <c r="BA45" s="28" t="s">
        <v>984</v>
      </c>
      <c r="BB45" s="28" t="s">
        <v>984</v>
      </c>
      <c r="BC45" s="28" t="s">
        <v>984</v>
      </c>
      <c r="BD45" s="28" t="s">
        <v>984</v>
      </c>
      <c r="BE45" s="28" t="s">
        <v>984</v>
      </c>
      <c r="BF45" s="28" t="s">
        <v>984</v>
      </c>
      <c r="BG45" s="28" t="s">
        <v>984</v>
      </c>
      <c r="BH45" s="28" t="s">
        <v>984</v>
      </c>
      <c r="BI45" s="28" t="s">
        <v>984</v>
      </c>
      <c r="BJ45" s="28" t="s">
        <v>984</v>
      </c>
      <c r="BK45" s="28" t="s">
        <v>984</v>
      </c>
      <c r="BL45" s="28" t="s">
        <v>984</v>
      </c>
      <c r="BM45" s="28" t="s">
        <v>984</v>
      </c>
      <c r="BN45" s="28" t="s">
        <v>984</v>
      </c>
      <c r="BO45" s="28" t="s">
        <v>984</v>
      </c>
      <c r="BP45" s="28" t="s">
        <v>984</v>
      </c>
      <c r="BQ45" s="28" t="s">
        <v>984</v>
      </c>
      <c r="BR45" s="28" t="s">
        <v>984</v>
      </c>
      <c r="BS45" s="28" t="s">
        <v>984</v>
      </c>
      <c r="BT45" s="28" t="s">
        <v>984</v>
      </c>
      <c r="BU45" s="28" t="s">
        <v>984</v>
      </c>
      <c r="BV45" s="28" t="s">
        <v>984</v>
      </c>
      <c r="BW45" s="28" t="s">
        <v>984</v>
      </c>
      <c r="BX45" s="28" t="s">
        <v>984</v>
      </c>
      <c r="BY45" s="28" t="s">
        <v>984</v>
      </c>
      <c r="BZ45" s="28" t="s">
        <v>984</v>
      </c>
      <c r="CA45" s="28" t="s">
        <v>984</v>
      </c>
      <c r="CB45" s="28" t="s">
        <v>984</v>
      </c>
      <c r="CC45" s="28" t="s">
        <v>984</v>
      </c>
      <c r="CD45" s="28" t="s">
        <v>984</v>
      </c>
      <c r="CE45" s="28" t="s">
        <v>984</v>
      </c>
      <c r="CF45" s="28" t="s">
        <v>984</v>
      </c>
      <c r="CG45" s="28" t="s">
        <v>984</v>
      </c>
      <c r="CH45" s="28" t="s">
        <v>984</v>
      </c>
      <c r="CI45" s="28" t="s">
        <v>984</v>
      </c>
      <c r="CJ45" s="28" t="s">
        <v>984</v>
      </c>
      <c r="CK45" s="28" t="s">
        <v>984</v>
      </c>
      <c r="CL45" s="28" t="s">
        <v>984</v>
      </c>
      <c r="CM45" s="28" t="s">
        <v>984</v>
      </c>
      <c r="CN45" s="28" t="s">
        <v>984</v>
      </c>
      <c r="CO45" s="28" t="s">
        <v>984</v>
      </c>
      <c r="CP45" s="28" t="s">
        <v>984</v>
      </c>
      <c r="CQ45" s="28" t="s">
        <v>984</v>
      </c>
      <c r="CR45" s="28"/>
      <c r="CS45" s="28" t="s">
        <v>988</v>
      </c>
      <c r="CT45" s="28" t="s">
        <v>988</v>
      </c>
      <c r="CU45" s="28" t="s">
        <v>991</v>
      </c>
      <c r="CV45" s="28" t="s">
        <v>1031</v>
      </c>
      <c r="CW45" s="28"/>
      <c r="CX45" s="28" t="s">
        <v>984</v>
      </c>
      <c r="CY45" s="28" t="s">
        <v>984</v>
      </c>
      <c r="CZ45" s="28" t="s">
        <v>969</v>
      </c>
      <c r="DA45" s="28" t="s">
        <v>988</v>
      </c>
      <c r="DB45" s="28" t="s">
        <v>984</v>
      </c>
      <c r="DC45" s="28" t="s">
        <v>984</v>
      </c>
      <c r="DD45" s="28" t="s">
        <v>984</v>
      </c>
      <c r="DE45" s="28"/>
      <c r="DF45" s="12">
        <v>44</v>
      </c>
      <c r="DH45" s="97">
        <v>14</v>
      </c>
      <c r="DI45" s="12" t="s">
        <v>1275</v>
      </c>
      <c r="DJ45" s="43">
        <v>-4</v>
      </c>
      <c r="DK45" s="12">
        <v>-68</v>
      </c>
      <c r="DL45" s="12">
        <v>0</v>
      </c>
      <c r="DM45" s="12">
        <v>0</v>
      </c>
      <c r="DN45" s="98">
        <v>3</v>
      </c>
      <c r="DQ45" s="35">
        <v>42</v>
      </c>
      <c r="DR45" s="21">
        <v>41</v>
      </c>
      <c r="DS45" s="21">
        <v>66</v>
      </c>
      <c r="DT45" s="32">
        <v>25</v>
      </c>
      <c r="DU45" s="21">
        <v>107</v>
      </c>
      <c r="DV45" s="31">
        <f t="shared" si="112"/>
        <v>142</v>
      </c>
      <c r="DW45" s="30">
        <f t="shared" si="113"/>
        <v>186</v>
      </c>
      <c r="DX45" s="36">
        <v>25</v>
      </c>
      <c r="DY45" s="23">
        <v>111</v>
      </c>
      <c r="DZ45" s="12">
        <v>43</v>
      </c>
      <c r="EA45" s="12">
        <f t="shared" si="85"/>
        <v>259</v>
      </c>
      <c r="EB45" s="12">
        <f t="shared" si="86"/>
        <v>242</v>
      </c>
      <c r="EC45" s="12">
        <f t="shared" si="87"/>
        <v>232</v>
      </c>
      <c r="ED45" s="12">
        <f t="shared" si="88"/>
        <v>199</v>
      </c>
      <c r="EE45" s="12">
        <f t="shared" si="89"/>
        <v>176</v>
      </c>
      <c r="EF45" s="12">
        <f t="shared" si="90"/>
        <v>163</v>
      </c>
      <c r="EG45" s="12">
        <f t="shared" si="91"/>
        <v>153</v>
      </c>
      <c r="EH45" s="12">
        <f t="shared" si="92"/>
        <v>153</v>
      </c>
      <c r="EI45" s="12">
        <f t="shared" si="93"/>
        <v>143</v>
      </c>
      <c r="EJ45" s="12">
        <f t="shared" si="94"/>
        <v>133</v>
      </c>
      <c r="EK45" s="12">
        <f t="shared" si="95"/>
        <v>189</v>
      </c>
      <c r="EL45" s="12">
        <f t="shared" si="96"/>
        <v>153</v>
      </c>
      <c r="EM45" s="12">
        <f t="shared" si="97"/>
        <v>143</v>
      </c>
      <c r="EN45" s="12">
        <f t="shared" si="98"/>
        <v>156</v>
      </c>
      <c r="EO45" s="12">
        <f t="shared" si="99"/>
        <v>133</v>
      </c>
      <c r="EP45" s="12">
        <f t="shared" si="100"/>
        <v>123</v>
      </c>
      <c r="EQ45" s="12">
        <f t="shared" si="101"/>
        <v>113</v>
      </c>
      <c r="ER45" s="12">
        <f t="shared" si="102"/>
        <v>146</v>
      </c>
      <c r="ES45" s="12">
        <f t="shared" si="103"/>
        <v>126</v>
      </c>
      <c r="ET45" s="12">
        <f t="shared" si="104"/>
        <v>103</v>
      </c>
      <c r="EU45" s="12">
        <f t="shared" si="105"/>
        <v>116</v>
      </c>
      <c r="EV45" s="12">
        <f t="shared" si="106"/>
        <v>103</v>
      </c>
      <c r="EW45" s="12">
        <f t="shared" si="107"/>
        <v>83</v>
      </c>
      <c r="EX45" s="12">
        <f t="shared" si="108"/>
        <v>73</v>
      </c>
      <c r="EY45" s="12">
        <f t="shared" si="109"/>
        <v>53</v>
      </c>
      <c r="EZ45" s="12">
        <v>45</v>
      </c>
      <c r="FH45" s="12">
        <v>1650000</v>
      </c>
      <c r="FI45" s="12">
        <v>43</v>
      </c>
      <c r="FJ45" s="12">
        <v>1650000</v>
      </c>
    </row>
    <row r="46" spans="1:166" ht="13.35" customHeight="1" thickBot="1" x14ac:dyDescent="0.25">
      <c r="A46" s="21">
        <f t="shared" si="110"/>
        <v>45</v>
      </c>
      <c r="B46" s="21">
        <v>0</v>
      </c>
      <c r="C46" s="21">
        <f t="shared" si="111"/>
        <v>45</v>
      </c>
      <c r="E46" s="27" t="s">
        <v>655</v>
      </c>
      <c r="F46" s="28" t="s">
        <v>972</v>
      </c>
      <c r="G46" s="28" t="s">
        <v>980</v>
      </c>
      <c r="H46" s="28" t="s">
        <v>980</v>
      </c>
      <c r="I46" s="28" t="s">
        <v>973</v>
      </c>
      <c r="J46" s="28" t="s">
        <v>976</v>
      </c>
      <c r="K46" s="28" t="s">
        <v>985</v>
      </c>
      <c r="L46" s="28" t="s">
        <v>990</v>
      </c>
      <c r="M46" s="28" t="s">
        <v>985</v>
      </c>
      <c r="N46" s="28" t="s">
        <v>990</v>
      </c>
      <c r="O46" s="28" t="s">
        <v>985</v>
      </c>
      <c r="P46" s="28" t="s">
        <v>983</v>
      </c>
      <c r="Q46" s="28" t="s">
        <v>983</v>
      </c>
      <c r="R46" s="28" t="s">
        <v>991</v>
      </c>
      <c r="S46" s="28" t="s">
        <v>983</v>
      </c>
      <c r="T46" s="28" t="s">
        <v>974</v>
      </c>
      <c r="U46" s="28" t="s">
        <v>985</v>
      </c>
      <c r="V46" s="28" t="s">
        <v>991</v>
      </c>
      <c r="W46" s="28" t="s">
        <v>974</v>
      </c>
      <c r="X46" s="28" t="s">
        <v>991</v>
      </c>
      <c r="Y46" s="28" t="s">
        <v>975</v>
      </c>
      <c r="Z46" s="28"/>
      <c r="AA46" s="28" t="s">
        <v>985</v>
      </c>
      <c r="AB46" s="28" t="s">
        <v>985</v>
      </c>
      <c r="AC46" s="28" t="s">
        <v>991</v>
      </c>
      <c r="AD46" s="28" t="s">
        <v>972</v>
      </c>
      <c r="AE46" s="28"/>
      <c r="AF46" s="28" t="s">
        <v>986</v>
      </c>
      <c r="AG46" s="28" t="s">
        <v>986</v>
      </c>
      <c r="AH46" s="28" t="s">
        <v>991</v>
      </c>
      <c r="AI46" s="28"/>
      <c r="AJ46" s="28" t="s">
        <v>986</v>
      </c>
      <c r="AK46" s="28" t="s">
        <v>982</v>
      </c>
      <c r="AL46" s="28" t="s">
        <v>1013</v>
      </c>
      <c r="AM46" s="28" t="s">
        <v>983</v>
      </c>
      <c r="AN46" s="28"/>
      <c r="AO46" s="28" t="s">
        <v>983</v>
      </c>
      <c r="AP46" s="28" t="s">
        <v>985</v>
      </c>
      <c r="AQ46" s="28" t="s">
        <v>973</v>
      </c>
      <c r="AR46" s="28"/>
      <c r="AS46" s="28" t="s">
        <v>985</v>
      </c>
      <c r="AT46" s="28" t="s">
        <v>985</v>
      </c>
      <c r="AU46" s="28" t="s">
        <v>985</v>
      </c>
      <c r="AV46" s="28" t="s">
        <v>985</v>
      </c>
      <c r="AW46" s="28" t="s">
        <v>985</v>
      </c>
      <c r="AX46" s="28" t="s">
        <v>985</v>
      </c>
      <c r="AY46" s="28" t="s">
        <v>985</v>
      </c>
      <c r="AZ46" s="28" t="s">
        <v>985</v>
      </c>
      <c r="BA46" s="28" t="s">
        <v>985</v>
      </c>
      <c r="BB46" s="28" t="s">
        <v>985</v>
      </c>
      <c r="BC46" s="28" t="s">
        <v>985</v>
      </c>
      <c r="BD46" s="28" t="s">
        <v>985</v>
      </c>
      <c r="BE46" s="28" t="s">
        <v>985</v>
      </c>
      <c r="BF46" s="28" t="s">
        <v>985</v>
      </c>
      <c r="BG46" s="28" t="s">
        <v>985</v>
      </c>
      <c r="BH46" s="28" t="s">
        <v>985</v>
      </c>
      <c r="BI46" s="28" t="s">
        <v>985</v>
      </c>
      <c r="BJ46" s="28" t="s">
        <v>985</v>
      </c>
      <c r="BK46" s="28" t="s">
        <v>985</v>
      </c>
      <c r="BL46" s="28" t="s">
        <v>985</v>
      </c>
      <c r="BM46" s="28" t="s">
        <v>985</v>
      </c>
      <c r="BN46" s="28" t="s">
        <v>985</v>
      </c>
      <c r="BO46" s="28" t="s">
        <v>985</v>
      </c>
      <c r="BP46" s="28" t="s">
        <v>985</v>
      </c>
      <c r="BQ46" s="28" t="s">
        <v>985</v>
      </c>
      <c r="BR46" s="28" t="s">
        <v>985</v>
      </c>
      <c r="BS46" s="28" t="s">
        <v>985</v>
      </c>
      <c r="BT46" s="28" t="s">
        <v>985</v>
      </c>
      <c r="BU46" s="28" t="s">
        <v>985</v>
      </c>
      <c r="BV46" s="28" t="s">
        <v>985</v>
      </c>
      <c r="BW46" s="28" t="s">
        <v>985</v>
      </c>
      <c r="BX46" s="28" t="s">
        <v>985</v>
      </c>
      <c r="BY46" s="28" t="s">
        <v>985</v>
      </c>
      <c r="BZ46" s="28" t="s">
        <v>985</v>
      </c>
      <c r="CA46" s="28" t="s">
        <v>985</v>
      </c>
      <c r="CB46" s="28" t="s">
        <v>985</v>
      </c>
      <c r="CC46" s="28" t="s">
        <v>985</v>
      </c>
      <c r="CD46" s="28" t="s">
        <v>985</v>
      </c>
      <c r="CE46" s="28" t="s">
        <v>985</v>
      </c>
      <c r="CF46" s="28" t="s">
        <v>985</v>
      </c>
      <c r="CG46" s="28" t="s">
        <v>985</v>
      </c>
      <c r="CH46" s="28" t="s">
        <v>985</v>
      </c>
      <c r="CI46" s="28" t="s">
        <v>985</v>
      </c>
      <c r="CJ46" s="28" t="s">
        <v>985</v>
      </c>
      <c r="CK46" s="28" t="s">
        <v>985</v>
      </c>
      <c r="CL46" s="28" t="s">
        <v>985</v>
      </c>
      <c r="CM46" s="28" t="s">
        <v>985</v>
      </c>
      <c r="CN46" s="28" t="s">
        <v>985</v>
      </c>
      <c r="CO46" s="28" t="s">
        <v>985</v>
      </c>
      <c r="CP46" s="28" t="s">
        <v>985</v>
      </c>
      <c r="CQ46" s="28" t="s">
        <v>985</v>
      </c>
      <c r="CR46" s="28"/>
      <c r="CS46" s="28" t="s">
        <v>975</v>
      </c>
      <c r="CT46" s="28" t="s">
        <v>980</v>
      </c>
      <c r="CU46" s="28" t="s">
        <v>976</v>
      </c>
      <c r="CV46" s="28" t="s">
        <v>972</v>
      </c>
      <c r="CW46" s="28"/>
      <c r="CX46" s="28" t="s">
        <v>991</v>
      </c>
      <c r="CY46" s="28" t="s">
        <v>985</v>
      </c>
      <c r="CZ46" s="28" t="s">
        <v>990</v>
      </c>
      <c r="DA46" s="28" t="s">
        <v>975</v>
      </c>
      <c r="DB46" s="28" t="s">
        <v>985</v>
      </c>
      <c r="DC46" s="28" t="s">
        <v>985</v>
      </c>
      <c r="DD46" s="28" t="s">
        <v>985</v>
      </c>
      <c r="DE46" s="28"/>
      <c r="DF46" s="12">
        <v>45</v>
      </c>
      <c r="DH46" s="97">
        <v>15</v>
      </c>
      <c r="DI46" s="12" t="s">
        <v>1278</v>
      </c>
      <c r="DJ46" s="43">
        <v>-13</v>
      </c>
      <c r="DK46" s="12">
        <v>-93</v>
      </c>
      <c r="DL46" s="12">
        <v>8</v>
      </c>
      <c r="DM46" s="12">
        <v>8</v>
      </c>
      <c r="DN46" s="98">
        <v>3</v>
      </c>
      <c r="DQ46" s="35">
        <v>43</v>
      </c>
      <c r="DR46" s="21">
        <v>42</v>
      </c>
      <c r="DS46" s="21">
        <v>67</v>
      </c>
      <c r="DT46" s="32">
        <v>25</v>
      </c>
      <c r="DU46" s="21">
        <v>108</v>
      </c>
      <c r="DV46" s="31">
        <f t="shared" si="112"/>
        <v>143</v>
      </c>
      <c r="DW46" s="30">
        <f t="shared" si="113"/>
        <v>189</v>
      </c>
      <c r="DX46" s="36">
        <v>25</v>
      </c>
      <c r="DY46" s="23">
        <v>111.5</v>
      </c>
      <c r="DZ46" s="12">
        <v>44</v>
      </c>
      <c r="EA46" s="12">
        <f t="shared" si="85"/>
        <v>262</v>
      </c>
      <c r="EB46" s="12">
        <f t="shared" si="86"/>
        <v>246</v>
      </c>
      <c r="EC46" s="12">
        <f t="shared" si="87"/>
        <v>236</v>
      </c>
      <c r="ED46" s="12">
        <f t="shared" si="88"/>
        <v>202</v>
      </c>
      <c r="EE46" s="12">
        <f t="shared" si="89"/>
        <v>178</v>
      </c>
      <c r="EF46" s="12">
        <f t="shared" si="90"/>
        <v>164</v>
      </c>
      <c r="EG46" s="12">
        <f t="shared" si="91"/>
        <v>154</v>
      </c>
      <c r="EH46" s="12">
        <f t="shared" si="92"/>
        <v>154</v>
      </c>
      <c r="EI46" s="12">
        <f t="shared" si="93"/>
        <v>144</v>
      </c>
      <c r="EJ46" s="12">
        <f t="shared" si="94"/>
        <v>134</v>
      </c>
      <c r="EK46" s="12">
        <f t="shared" si="95"/>
        <v>192</v>
      </c>
      <c r="EL46" s="12">
        <f t="shared" si="96"/>
        <v>154</v>
      </c>
      <c r="EM46" s="12">
        <f t="shared" si="97"/>
        <v>144</v>
      </c>
      <c r="EN46" s="12">
        <f t="shared" si="98"/>
        <v>158</v>
      </c>
      <c r="EO46" s="12">
        <f t="shared" si="99"/>
        <v>134</v>
      </c>
      <c r="EP46" s="12">
        <f t="shared" si="100"/>
        <v>124</v>
      </c>
      <c r="EQ46" s="12">
        <f t="shared" si="101"/>
        <v>114</v>
      </c>
      <c r="ER46" s="12">
        <f t="shared" si="102"/>
        <v>148</v>
      </c>
      <c r="ES46" s="12">
        <f t="shared" si="103"/>
        <v>128</v>
      </c>
      <c r="ET46" s="12">
        <f t="shared" si="104"/>
        <v>104</v>
      </c>
      <c r="EU46" s="12">
        <f t="shared" si="105"/>
        <v>118</v>
      </c>
      <c r="EV46" s="12">
        <f t="shared" si="106"/>
        <v>104</v>
      </c>
      <c r="EW46" s="12">
        <f t="shared" si="107"/>
        <v>84</v>
      </c>
      <c r="EX46" s="12">
        <f t="shared" si="108"/>
        <v>74</v>
      </c>
      <c r="EY46" s="12">
        <f t="shared" si="109"/>
        <v>54</v>
      </c>
      <c r="EZ46" s="12">
        <v>46</v>
      </c>
      <c r="FH46" s="12">
        <v>1700000</v>
      </c>
      <c r="FI46" s="12">
        <v>44</v>
      </c>
      <c r="FJ46" s="12">
        <v>1700000</v>
      </c>
    </row>
    <row r="47" spans="1:166" ht="13.35" customHeight="1" thickBot="1" x14ac:dyDescent="0.25">
      <c r="A47" s="21">
        <f t="shared" si="110"/>
        <v>46</v>
      </c>
      <c r="B47" s="21">
        <v>0</v>
      </c>
      <c r="C47" s="21">
        <f t="shared" si="111"/>
        <v>46</v>
      </c>
      <c r="E47" s="27" t="s">
        <v>660</v>
      </c>
      <c r="F47" s="28" t="s">
        <v>987</v>
      </c>
      <c r="G47" s="28" t="s">
        <v>987</v>
      </c>
      <c r="H47" s="28" t="s">
        <v>987</v>
      </c>
      <c r="I47" s="28" t="s">
        <v>987</v>
      </c>
      <c r="J47" s="28" t="s">
        <v>987</v>
      </c>
      <c r="K47" s="28" t="s">
        <v>987</v>
      </c>
      <c r="L47" s="28" t="s">
        <v>987</v>
      </c>
      <c r="M47" s="28" t="s">
        <v>1093</v>
      </c>
      <c r="N47" s="28" t="s">
        <v>987</v>
      </c>
      <c r="O47" s="28" t="s">
        <v>987</v>
      </c>
      <c r="P47" s="28" t="s">
        <v>987</v>
      </c>
      <c r="Q47" s="28" t="s">
        <v>987</v>
      </c>
      <c r="R47" s="28" t="s">
        <v>987</v>
      </c>
      <c r="S47" s="28" t="s">
        <v>987</v>
      </c>
      <c r="T47" s="28" t="s">
        <v>987</v>
      </c>
      <c r="U47" s="28" t="s">
        <v>987</v>
      </c>
      <c r="V47" s="28" t="s">
        <v>987</v>
      </c>
      <c r="W47" s="28" t="s">
        <v>987</v>
      </c>
      <c r="X47" s="28" t="s">
        <v>987</v>
      </c>
      <c r="Y47" s="28" t="s">
        <v>987</v>
      </c>
      <c r="Z47" s="28"/>
      <c r="AA47" s="28" t="s">
        <v>987</v>
      </c>
      <c r="AB47" s="28" t="s">
        <v>987</v>
      </c>
      <c r="AC47" s="28" t="s">
        <v>987</v>
      </c>
      <c r="AD47" s="28" t="s">
        <v>987</v>
      </c>
      <c r="AE47" s="28"/>
      <c r="AF47" s="28" t="s">
        <v>987</v>
      </c>
      <c r="AG47" s="28" t="s">
        <v>987</v>
      </c>
      <c r="AH47" s="28" t="s">
        <v>987</v>
      </c>
      <c r="AI47" s="28"/>
      <c r="AJ47" s="28" t="s">
        <v>987</v>
      </c>
      <c r="AK47" s="28" t="s">
        <v>987</v>
      </c>
      <c r="AL47" s="28" t="s">
        <v>987</v>
      </c>
      <c r="AM47" s="28" t="s">
        <v>987</v>
      </c>
      <c r="AN47" s="28"/>
      <c r="AO47" s="28" t="s">
        <v>987</v>
      </c>
      <c r="AP47" s="28" t="s">
        <v>987</v>
      </c>
      <c r="AQ47" s="28" t="s">
        <v>987</v>
      </c>
      <c r="AR47" s="28"/>
      <c r="AS47" s="28" t="s">
        <v>987</v>
      </c>
      <c r="AT47" s="28" t="s">
        <v>987</v>
      </c>
      <c r="AU47" s="28" t="s">
        <v>987</v>
      </c>
      <c r="AV47" s="28" t="s">
        <v>987</v>
      </c>
      <c r="AW47" s="28" t="s">
        <v>987</v>
      </c>
      <c r="AX47" s="28" t="s">
        <v>987</v>
      </c>
      <c r="AY47" s="28" t="s">
        <v>987</v>
      </c>
      <c r="AZ47" s="28" t="s">
        <v>987</v>
      </c>
      <c r="BA47" s="28" t="s">
        <v>987</v>
      </c>
      <c r="BB47" s="28" t="s">
        <v>987</v>
      </c>
      <c r="BC47" s="28" t="s">
        <v>987</v>
      </c>
      <c r="BD47" s="28" t="s">
        <v>987</v>
      </c>
      <c r="BE47" s="28" t="s">
        <v>987</v>
      </c>
      <c r="BF47" s="28" t="s">
        <v>987</v>
      </c>
      <c r="BG47" s="28" t="s">
        <v>987</v>
      </c>
      <c r="BH47" s="28" t="s">
        <v>987</v>
      </c>
      <c r="BI47" s="28" t="s">
        <v>987</v>
      </c>
      <c r="BJ47" s="28" t="s">
        <v>987</v>
      </c>
      <c r="BK47" s="28" t="s">
        <v>987</v>
      </c>
      <c r="BL47" s="28" t="s">
        <v>987</v>
      </c>
      <c r="BM47" s="28" t="s">
        <v>987</v>
      </c>
      <c r="BN47" s="28" t="s">
        <v>987</v>
      </c>
      <c r="BO47" s="28" t="s">
        <v>987</v>
      </c>
      <c r="BP47" s="28" t="s">
        <v>987</v>
      </c>
      <c r="BQ47" s="28" t="s">
        <v>987</v>
      </c>
      <c r="BR47" s="28" t="s">
        <v>987</v>
      </c>
      <c r="BS47" s="28" t="s">
        <v>987</v>
      </c>
      <c r="BT47" s="28" t="s">
        <v>987</v>
      </c>
      <c r="BU47" s="28" t="s">
        <v>987</v>
      </c>
      <c r="BV47" s="28" t="s">
        <v>987</v>
      </c>
      <c r="BW47" s="28" t="s">
        <v>987</v>
      </c>
      <c r="BX47" s="28" t="s">
        <v>987</v>
      </c>
      <c r="BY47" s="28" t="s">
        <v>987</v>
      </c>
      <c r="BZ47" s="28" t="s">
        <v>987</v>
      </c>
      <c r="CA47" s="28" t="s">
        <v>987</v>
      </c>
      <c r="CB47" s="28" t="s">
        <v>987</v>
      </c>
      <c r="CC47" s="28" t="s">
        <v>987</v>
      </c>
      <c r="CD47" s="28" t="s">
        <v>987</v>
      </c>
      <c r="CE47" s="28" t="s">
        <v>987</v>
      </c>
      <c r="CF47" s="28" t="s">
        <v>987</v>
      </c>
      <c r="CG47" s="28" t="s">
        <v>987</v>
      </c>
      <c r="CH47" s="28" t="s">
        <v>987</v>
      </c>
      <c r="CI47" s="28" t="s">
        <v>987</v>
      </c>
      <c r="CJ47" s="28" t="s">
        <v>987</v>
      </c>
      <c r="CK47" s="28" t="s">
        <v>987</v>
      </c>
      <c r="CL47" s="28" t="s">
        <v>987</v>
      </c>
      <c r="CM47" s="28" t="s">
        <v>987</v>
      </c>
      <c r="CN47" s="28" t="s">
        <v>987</v>
      </c>
      <c r="CO47" s="28" t="s">
        <v>987</v>
      </c>
      <c r="CP47" s="28" t="s">
        <v>987</v>
      </c>
      <c r="CQ47" s="28" t="s">
        <v>987</v>
      </c>
      <c r="CR47" s="28"/>
      <c r="CS47" s="28" t="s">
        <v>987</v>
      </c>
      <c r="CT47" s="28" t="s">
        <v>987</v>
      </c>
      <c r="CU47" s="28" t="s">
        <v>987</v>
      </c>
      <c r="CV47" s="28" t="s">
        <v>987</v>
      </c>
      <c r="CW47" s="28"/>
      <c r="CX47" s="28" t="s">
        <v>987</v>
      </c>
      <c r="CY47" s="28" t="s">
        <v>987</v>
      </c>
      <c r="CZ47" s="28" t="s">
        <v>987</v>
      </c>
      <c r="DA47" s="28" t="s">
        <v>987</v>
      </c>
      <c r="DB47" s="28" t="s">
        <v>987</v>
      </c>
      <c r="DC47" s="28" t="s">
        <v>987</v>
      </c>
      <c r="DD47" s="28" t="s">
        <v>987</v>
      </c>
      <c r="DE47" s="28"/>
      <c r="DF47" s="12">
        <v>46</v>
      </c>
      <c r="DH47" s="97">
        <v>16</v>
      </c>
      <c r="DI47" s="12" t="s">
        <v>1287</v>
      </c>
      <c r="DJ47" s="43">
        <v>-13</v>
      </c>
      <c r="DK47" s="12">
        <v>-102</v>
      </c>
      <c r="DL47" s="12">
        <v>8</v>
      </c>
      <c r="DM47" s="12">
        <v>8</v>
      </c>
      <c r="DN47" s="98">
        <v>3</v>
      </c>
      <c r="DQ47" s="35">
        <v>44</v>
      </c>
      <c r="DR47" s="21">
        <v>42</v>
      </c>
      <c r="DS47" s="21">
        <v>67</v>
      </c>
      <c r="DT47" s="32">
        <v>25</v>
      </c>
      <c r="DU47" s="21">
        <v>109</v>
      </c>
      <c r="DV47" s="31">
        <f t="shared" si="112"/>
        <v>144</v>
      </c>
      <c r="DW47" s="30">
        <f t="shared" si="113"/>
        <v>192</v>
      </c>
      <c r="DX47" s="36">
        <v>25</v>
      </c>
      <c r="DY47" s="23">
        <v>112</v>
      </c>
      <c r="DZ47" s="12">
        <v>45</v>
      </c>
      <c r="EA47" s="12">
        <f t="shared" si="85"/>
        <v>265</v>
      </c>
      <c r="EB47" s="12">
        <f t="shared" si="86"/>
        <v>250</v>
      </c>
      <c r="EC47" s="12">
        <f t="shared" si="87"/>
        <v>240</v>
      </c>
      <c r="ED47" s="12">
        <f t="shared" si="88"/>
        <v>205</v>
      </c>
      <c r="EE47" s="12">
        <f t="shared" si="89"/>
        <v>180</v>
      </c>
      <c r="EF47" s="12">
        <f t="shared" si="90"/>
        <v>165</v>
      </c>
      <c r="EG47" s="12">
        <f t="shared" si="91"/>
        <v>155</v>
      </c>
      <c r="EH47" s="12">
        <f t="shared" si="92"/>
        <v>155</v>
      </c>
      <c r="EI47" s="12">
        <f t="shared" si="93"/>
        <v>145</v>
      </c>
      <c r="EJ47" s="12">
        <f t="shared" si="94"/>
        <v>135</v>
      </c>
      <c r="EK47" s="12">
        <f t="shared" si="95"/>
        <v>195</v>
      </c>
      <c r="EL47" s="12">
        <f t="shared" si="96"/>
        <v>155</v>
      </c>
      <c r="EM47" s="12">
        <f t="shared" si="97"/>
        <v>145</v>
      </c>
      <c r="EN47" s="12">
        <f t="shared" si="98"/>
        <v>160</v>
      </c>
      <c r="EO47" s="12">
        <f t="shared" si="99"/>
        <v>135</v>
      </c>
      <c r="EP47" s="12">
        <f t="shared" si="100"/>
        <v>125</v>
      </c>
      <c r="EQ47" s="12">
        <f t="shared" si="101"/>
        <v>115</v>
      </c>
      <c r="ER47" s="12">
        <f t="shared" si="102"/>
        <v>150</v>
      </c>
      <c r="ES47" s="12">
        <f t="shared" si="103"/>
        <v>130</v>
      </c>
      <c r="ET47" s="12">
        <f t="shared" si="104"/>
        <v>105</v>
      </c>
      <c r="EU47" s="12">
        <f t="shared" si="105"/>
        <v>120</v>
      </c>
      <c r="EV47" s="12">
        <f t="shared" si="106"/>
        <v>105</v>
      </c>
      <c r="EW47" s="12">
        <f t="shared" si="107"/>
        <v>85</v>
      </c>
      <c r="EX47" s="12">
        <f t="shared" si="108"/>
        <v>75</v>
      </c>
      <c r="EY47" s="12">
        <f t="shared" si="109"/>
        <v>55</v>
      </c>
      <c r="EZ47" s="12">
        <v>47</v>
      </c>
      <c r="FH47" s="12">
        <v>1750000</v>
      </c>
      <c r="FI47" s="12">
        <v>45</v>
      </c>
      <c r="FJ47" s="12">
        <v>1750000</v>
      </c>
    </row>
    <row r="48" spans="1:166" ht="13.35" customHeight="1" thickBot="1" x14ac:dyDescent="0.25">
      <c r="A48" s="21">
        <f t="shared" si="110"/>
        <v>47</v>
      </c>
      <c r="B48" s="21">
        <v>0</v>
      </c>
      <c r="C48" s="21">
        <f t="shared" si="111"/>
        <v>47</v>
      </c>
      <c r="E48" s="27" t="s">
        <v>1094</v>
      </c>
      <c r="F48" s="28" t="s">
        <v>969</v>
      </c>
      <c r="G48" s="28" t="s">
        <v>969</v>
      </c>
      <c r="H48" s="28" t="s">
        <v>969</v>
      </c>
      <c r="I48" s="28" t="s">
        <v>969</v>
      </c>
      <c r="J48" s="28" t="s">
        <v>969</v>
      </c>
      <c r="K48" s="28" t="s">
        <v>969</v>
      </c>
      <c r="L48" s="28" t="s">
        <v>969</v>
      </c>
      <c r="M48" s="28" t="s">
        <v>969</v>
      </c>
      <c r="N48" s="28" t="s">
        <v>969</v>
      </c>
      <c r="O48" s="28" t="s">
        <v>969</v>
      </c>
      <c r="P48" s="28" t="s">
        <v>969</v>
      </c>
      <c r="Q48" s="28" t="s">
        <v>969</v>
      </c>
      <c r="R48" s="28" t="s">
        <v>969</v>
      </c>
      <c r="S48" s="28" t="s">
        <v>969</v>
      </c>
      <c r="T48" s="28" t="s">
        <v>969</v>
      </c>
      <c r="U48" s="28" t="s">
        <v>969</v>
      </c>
      <c r="V48" s="28" t="s">
        <v>969</v>
      </c>
      <c r="W48" s="28" t="s">
        <v>969</v>
      </c>
      <c r="X48" s="28" t="s">
        <v>969</v>
      </c>
      <c r="Y48" s="28" t="s">
        <v>969</v>
      </c>
      <c r="Z48" s="28"/>
      <c r="AA48" s="28" t="s">
        <v>969</v>
      </c>
      <c r="AB48" s="28" t="s">
        <v>969</v>
      </c>
      <c r="AC48" s="28" t="s">
        <v>969</v>
      </c>
      <c r="AD48" s="28" t="s">
        <v>969</v>
      </c>
      <c r="AE48" s="28"/>
      <c r="AF48" s="28" t="s">
        <v>969</v>
      </c>
      <c r="AG48" s="28" t="s">
        <v>969</v>
      </c>
      <c r="AH48" s="28" t="s">
        <v>969</v>
      </c>
      <c r="AI48" s="28"/>
      <c r="AJ48" s="28" t="s">
        <v>969</v>
      </c>
      <c r="AK48" s="28" t="s">
        <v>969</v>
      </c>
      <c r="AL48" s="28" t="s">
        <v>969</v>
      </c>
      <c r="AM48" s="28" t="s">
        <v>969</v>
      </c>
      <c r="AN48" s="28"/>
      <c r="AO48" s="28" t="s">
        <v>969</v>
      </c>
      <c r="AP48" s="28" t="s">
        <v>969</v>
      </c>
      <c r="AQ48" s="28" t="s">
        <v>969</v>
      </c>
      <c r="AR48" s="28"/>
      <c r="AS48" s="28" t="s">
        <v>969</v>
      </c>
      <c r="AT48" s="28" t="s">
        <v>969</v>
      </c>
      <c r="AU48" s="28" t="s">
        <v>969</v>
      </c>
      <c r="AV48" s="28" t="s">
        <v>969</v>
      </c>
      <c r="AW48" s="28" t="s">
        <v>969</v>
      </c>
      <c r="AX48" s="28" t="s">
        <v>969</v>
      </c>
      <c r="AY48" s="28" t="s">
        <v>969</v>
      </c>
      <c r="AZ48" s="28" t="s">
        <v>969</v>
      </c>
      <c r="BA48" s="28" t="s">
        <v>969</v>
      </c>
      <c r="BB48" s="28" t="s">
        <v>969</v>
      </c>
      <c r="BC48" s="28" t="s">
        <v>969</v>
      </c>
      <c r="BD48" s="28" t="s">
        <v>969</v>
      </c>
      <c r="BE48" s="28" t="s">
        <v>969</v>
      </c>
      <c r="BF48" s="28" t="s">
        <v>969</v>
      </c>
      <c r="BG48" s="28" t="s">
        <v>969</v>
      </c>
      <c r="BH48" s="28" t="s">
        <v>969</v>
      </c>
      <c r="BI48" s="28" t="s">
        <v>969</v>
      </c>
      <c r="BJ48" s="28" t="s">
        <v>969</v>
      </c>
      <c r="BK48" s="28" t="s">
        <v>969</v>
      </c>
      <c r="BL48" s="28" t="s">
        <v>969</v>
      </c>
      <c r="BM48" s="28" t="s">
        <v>969</v>
      </c>
      <c r="BN48" s="28" t="s">
        <v>969</v>
      </c>
      <c r="BO48" s="28" t="s">
        <v>969</v>
      </c>
      <c r="BP48" s="28" t="s">
        <v>969</v>
      </c>
      <c r="BQ48" s="28" t="s">
        <v>969</v>
      </c>
      <c r="BR48" s="28" t="s">
        <v>969</v>
      </c>
      <c r="BS48" s="28" t="s">
        <v>969</v>
      </c>
      <c r="BT48" s="28" t="s">
        <v>969</v>
      </c>
      <c r="BU48" s="28" t="s">
        <v>969</v>
      </c>
      <c r="BV48" s="28" t="s">
        <v>969</v>
      </c>
      <c r="BW48" s="28" t="s">
        <v>969</v>
      </c>
      <c r="BX48" s="28" t="s">
        <v>969</v>
      </c>
      <c r="BY48" s="28" t="s">
        <v>969</v>
      </c>
      <c r="BZ48" s="28" t="s">
        <v>969</v>
      </c>
      <c r="CA48" s="28" t="s">
        <v>969</v>
      </c>
      <c r="CB48" s="28" t="s">
        <v>969</v>
      </c>
      <c r="CC48" s="28" t="s">
        <v>969</v>
      </c>
      <c r="CD48" s="28" t="s">
        <v>969</v>
      </c>
      <c r="CE48" s="28" t="s">
        <v>969</v>
      </c>
      <c r="CF48" s="28" t="s">
        <v>969</v>
      </c>
      <c r="CG48" s="28" t="s">
        <v>969</v>
      </c>
      <c r="CH48" s="28" t="s">
        <v>969</v>
      </c>
      <c r="CI48" s="28" t="s">
        <v>969</v>
      </c>
      <c r="CJ48" s="28" t="s">
        <v>969</v>
      </c>
      <c r="CK48" s="28" t="s">
        <v>969</v>
      </c>
      <c r="CL48" s="28" t="s">
        <v>969</v>
      </c>
      <c r="CM48" s="28" t="s">
        <v>969</v>
      </c>
      <c r="CN48" s="28" t="s">
        <v>969</v>
      </c>
      <c r="CO48" s="28" t="s">
        <v>969</v>
      </c>
      <c r="CP48" s="28" t="s">
        <v>969</v>
      </c>
      <c r="CQ48" s="28" t="s">
        <v>969</v>
      </c>
      <c r="CR48" s="28"/>
      <c r="CS48" s="28" t="s">
        <v>969</v>
      </c>
      <c r="CT48" s="28" t="s">
        <v>969</v>
      </c>
      <c r="CU48" s="28" t="s">
        <v>969</v>
      </c>
      <c r="CV48" s="28" t="s">
        <v>969</v>
      </c>
      <c r="CW48" s="28"/>
      <c r="CX48" s="28" t="s">
        <v>969</v>
      </c>
      <c r="CY48" s="28" t="s">
        <v>969</v>
      </c>
      <c r="CZ48" s="28" t="s">
        <v>969</v>
      </c>
      <c r="DA48" s="28" t="s">
        <v>969</v>
      </c>
      <c r="DB48" s="28" t="s">
        <v>969</v>
      </c>
      <c r="DC48" s="28" t="s">
        <v>969</v>
      </c>
      <c r="DD48" s="28" t="s">
        <v>969</v>
      </c>
      <c r="DE48" s="28"/>
      <c r="DF48" s="12">
        <v>47</v>
      </c>
      <c r="DH48" s="97">
        <v>17</v>
      </c>
      <c r="DI48" s="12" t="s">
        <v>1291</v>
      </c>
      <c r="DJ48" s="43">
        <v>-4</v>
      </c>
      <c r="DK48" s="12">
        <v>-68</v>
      </c>
      <c r="DL48" s="12">
        <v>0</v>
      </c>
      <c r="DM48" s="12">
        <v>0</v>
      </c>
      <c r="DN48" s="98">
        <v>4</v>
      </c>
      <c r="DQ48" s="35">
        <v>45</v>
      </c>
      <c r="DR48" s="21">
        <v>43</v>
      </c>
      <c r="DS48" s="21">
        <v>68</v>
      </c>
      <c r="DT48" s="32">
        <v>25</v>
      </c>
      <c r="DU48" s="21">
        <v>110</v>
      </c>
      <c r="DV48" s="31">
        <f t="shared" si="112"/>
        <v>145</v>
      </c>
      <c r="DW48" s="30">
        <f t="shared" si="113"/>
        <v>195</v>
      </c>
      <c r="DX48" s="36">
        <v>25</v>
      </c>
      <c r="DY48" s="23">
        <v>112.5</v>
      </c>
      <c r="DZ48" s="12">
        <v>46</v>
      </c>
      <c r="EA48" s="12">
        <f t="shared" si="85"/>
        <v>268</v>
      </c>
      <c r="EB48" s="12">
        <f t="shared" si="86"/>
        <v>254</v>
      </c>
      <c r="EC48" s="12">
        <f t="shared" si="87"/>
        <v>244</v>
      </c>
      <c r="ED48" s="12">
        <f t="shared" si="88"/>
        <v>208</v>
      </c>
      <c r="EE48" s="12">
        <f t="shared" si="89"/>
        <v>182</v>
      </c>
      <c r="EF48" s="12">
        <f t="shared" si="90"/>
        <v>166</v>
      </c>
      <c r="EG48" s="12">
        <f t="shared" si="91"/>
        <v>156</v>
      </c>
      <c r="EH48" s="12">
        <f t="shared" si="92"/>
        <v>156</v>
      </c>
      <c r="EI48" s="12">
        <f t="shared" si="93"/>
        <v>146</v>
      </c>
      <c r="EJ48" s="12">
        <f t="shared" si="94"/>
        <v>136</v>
      </c>
      <c r="EK48" s="12">
        <f t="shared" si="95"/>
        <v>198</v>
      </c>
      <c r="EL48" s="12">
        <f t="shared" si="96"/>
        <v>156</v>
      </c>
      <c r="EM48" s="12">
        <f t="shared" si="97"/>
        <v>146</v>
      </c>
      <c r="EN48" s="12">
        <f t="shared" si="98"/>
        <v>162</v>
      </c>
      <c r="EO48" s="12">
        <f t="shared" si="99"/>
        <v>136</v>
      </c>
      <c r="EP48" s="12">
        <f t="shared" si="100"/>
        <v>126</v>
      </c>
      <c r="EQ48" s="12">
        <f t="shared" si="101"/>
        <v>116</v>
      </c>
      <c r="ER48" s="12">
        <f t="shared" si="102"/>
        <v>152</v>
      </c>
      <c r="ES48" s="12">
        <f t="shared" si="103"/>
        <v>132</v>
      </c>
      <c r="ET48" s="12">
        <f t="shared" si="104"/>
        <v>106</v>
      </c>
      <c r="EU48" s="12">
        <f t="shared" si="105"/>
        <v>122</v>
      </c>
      <c r="EV48" s="12">
        <f t="shared" si="106"/>
        <v>106</v>
      </c>
      <c r="EW48" s="12">
        <f t="shared" si="107"/>
        <v>86</v>
      </c>
      <c r="EX48" s="12">
        <f t="shared" si="108"/>
        <v>76</v>
      </c>
      <c r="EY48" s="12">
        <f t="shared" si="109"/>
        <v>56</v>
      </c>
      <c r="EZ48" s="12">
        <v>48</v>
      </c>
      <c r="FH48" s="12">
        <v>1800000</v>
      </c>
      <c r="FI48" s="12">
        <v>46</v>
      </c>
      <c r="FJ48" s="12">
        <v>1800000</v>
      </c>
    </row>
    <row r="49" spans="1:166" ht="13.35" customHeight="1" thickBot="1" x14ac:dyDescent="0.25">
      <c r="A49" s="21">
        <f t="shared" si="110"/>
        <v>48</v>
      </c>
      <c r="B49" s="21">
        <v>0</v>
      </c>
      <c r="C49" s="21">
        <f t="shared" si="111"/>
        <v>48</v>
      </c>
      <c r="E49" s="27" t="s">
        <v>681</v>
      </c>
      <c r="F49" s="28" t="s">
        <v>1009</v>
      </c>
      <c r="G49" s="28" t="s">
        <v>1009</v>
      </c>
      <c r="H49" s="28" t="s">
        <v>1009</v>
      </c>
      <c r="I49" s="28" t="s">
        <v>1009</v>
      </c>
      <c r="J49" s="28" t="s">
        <v>1009</v>
      </c>
      <c r="K49" s="28" t="s">
        <v>1009</v>
      </c>
      <c r="L49" s="28" t="s">
        <v>1009</v>
      </c>
      <c r="M49" s="28" t="s">
        <v>1009</v>
      </c>
      <c r="N49" s="28" t="s">
        <v>1009</v>
      </c>
      <c r="O49" s="28" t="s">
        <v>1009</v>
      </c>
      <c r="P49" s="28" t="s">
        <v>1009</v>
      </c>
      <c r="Q49" s="28" t="s">
        <v>1009</v>
      </c>
      <c r="R49" s="28" t="s">
        <v>1009</v>
      </c>
      <c r="S49" s="28" t="s">
        <v>1009</v>
      </c>
      <c r="T49" s="28" t="s">
        <v>1009</v>
      </c>
      <c r="U49" s="28" t="s">
        <v>1009</v>
      </c>
      <c r="V49" s="28" t="s">
        <v>1009</v>
      </c>
      <c r="W49" s="28" t="s">
        <v>1009</v>
      </c>
      <c r="X49" s="28" t="s">
        <v>1009</v>
      </c>
      <c r="Y49" s="28" t="s">
        <v>1009</v>
      </c>
      <c r="Z49" s="28"/>
      <c r="AA49" s="28" t="s">
        <v>1009</v>
      </c>
      <c r="AB49" s="28" t="s">
        <v>1009</v>
      </c>
      <c r="AC49" s="28" t="s">
        <v>1009</v>
      </c>
      <c r="AD49" s="28" t="s">
        <v>1009</v>
      </c>
      <c r="AE49" s="28"/>
      <c r="AF49" s="28" t="s">
        <v>1009</v>
      </c>
      <c r="AG49" s="28" t="s">
        <v>1009</v>
      </c>
      <c r="AH49" s="28" t="s">
        <v>1009</v>
      </c>
      <c r="AI49" s="28"/>
      <c r="AJ49" s="28" t="s">
        <v>1009</v>
      </c>
      <c r="AK49" s="28" t="s">
        <v>1009</v>
      </c>
      <c r="AL49" s="28" t="s">
        <v>1009</v>
      </c>
      <c r="AM49" s="28" t="s">
        <v>1009</v>
      </c>
      <c r="AN49" s="28"/>
      <c r="AO49" s="28" t="s">
        <v>1009</v>
      </c>
      <c r="AP49" s="28" t="s">
        <v>1009</v>
      </c>
      <c r="AQ49" s="28" t="s">
        <v>1009</v>
      </c>
      <c r="AR49" s="28"/>
      <c r="AS49" s="28" t="s">
        <v>1009</v>
      </c>
      <c r="AT49" s="28" t="s">
        <v>1009</v>
      </c>
      <c r="AU49" s="28" t="s">
        <v>1009</v>
      </c>
      <c r="AV49" s="28" t="s">
        <v>1009</v>
      </c>
      <c r="AW49" s="28" t="s">
        <v>1009</v>
      </c>
      <c r="AX49" s="28" t="s">
        <v>1009</v>
      </c>
      <c r="AY49" s="28" t="s">
        <v>1009</v>
      </c>
      <c r="AZ49" s="28" t="s">
        <v>1009</v>
      </c>
      <c r="BA49" s="28" t="s">
        <v>1009</v>
      </c>
      <c r="BB49" s="28" t="s">
        <v>1009</v>
      </c>
      <c r="BC49" s="28" t="s">
        <v>1009</v>
      </c>
      <c r="BD49" s="28" t="s">
        <v>1009</v>
      </c>
      <c r="BE49" s="28" t="s">
        <v>1009</v>
      </c>
      <c r="BF49" s="28" t="s">
        <v>1009</v>
      </c>
      <c r="BG49" s="28" t="s">
        <v>1009</v>
      </c>
      <c r="BH49" s="28" t="s">
        <v>1009</v>
      </c>
      <c r="BI49" s="28" t="s">
        <v>1009</v>
      </c>
      <c r="BJ49" s="28" t="s">
        <v>1009</v>
      </c>
      <c r="BK49" s="28" t="s">
        <v>1009</v>
      </c>
      <c r="BL49" s="28" t="s">
        <v>1009</v>
      </c>
      <c r="BM49" s="28" t="s">
        <v>1009</v>
      </c>
      <c r="BN49" s="28" t="s">
        <v>1009</v>
      </c>
      <c r="BO49" s="28" t="s">
        <v>1009</v>
      </c>
      <c r="BP49" s="28" t="s">
        <v>1009</v>
      </c>
      <c r="BQ49" s="28" t="s">
        <v>1009</v>
      </c>
      <c r="BR49" s="28" t="s">
        <v>1009</v>
      </c>
      <c r="BS49" s="28" t="s">
        <v>1009</v>
      </c>
      <c r="BT49" s="28" t="s">
        <v>1009</v>
      </c>
      <c r="BU49" s="28" t="s">
        <v>1009</v>
      </c>
      <c r="BV49" s="28" t="s">
        <v>1009</v>
      </c>
      <c r="BW49" s="28" t="s">
        <v>1009</v>
      </c>
      <c r="BX49" s="28" t="s">
        <v>1009</v>
      </c>
      <c r="BY49" s="28" t="s">
        <v>1009</v>
      </c>
      <c r="BZ49" s="28" t="s">
        <v>1009</v>
      </c>
      <c r="CA49" s="28" t="s">
        <v>1009</v>
      </c>
      <c r="CB49" s="28" t="s">
        <v>1009</v>
      </c>
      <c r="CC49" s="28" t="s">
        <v>1009</v>
      </c>
      <c r="CD49" s="28" t="s">
        <v>1009</v>
      </c>
      <c r="CE49" s="28" t="s">
        <v>1009</v>
      </c>
      <c r="CF49" s="28" t="s">
        <v>1009</v>
      </c>
      <c r="CG49" s="28" t="s">
        <v>1009</v>
      </c>
      <c r="CH49" s="28" t="s">
        <v>1009</v>
      </c>
      <c r="CI49" s="28" t="s">
        <v>1009</v>
      </c>
      <c r="CJ49" s="28" t="s">
        <v>1009</v>
      </c>
      <c r="CK49" s="28" t="s">
        <v>1009</v>
      </c>
      <c r="CL49" s="28" t="s">
        <v>1009</v>
      </c>
      <c r="CM49" s="28" t="s">
        <v>1009</v>
      </c>
      <c r="CN49" s="28" t="s">
        <v>1009</v>
      </c>
      <c r="CO49" s="28" t="s">
        <v>1009</v>
      </c>
      <c r="CP49" s="28" t="s">
        <v>1009</v>
      </c>
      <c r="CQ49" s="28" t="s">
        <v>1009</v>
      </c>
      <c r="CR49" s="28"/>
      <c r="CS49" s="28" t="s">
        <v>1009</v>
      </c>
      <c r="CT49" s="28" t="s">
        <v>1009</v>
      </c>
      <c r="CU49" s="28" t="s">
        <v>1009</v>
      </c>
      <c r="CV49" s="28" t="s">
        <v>1009</v>
      </c>
      <c r="CW49" s="28"/>
      <c r="CX49" s="28" t="s">
        <v>1009</v>
      </c>
      <c r="CY49" s="28" t="s">
        <v>1009</v>
      </c>
      <c r="CZ49" s="28" t="s">
        <v>1009</v>
      </c>
      <c r="DA49" s="28" t="s">
        <v>1009</v>
      </c>
      <c r="DB49" s="28" t="s">
        <v>987</v>
      </c>
      <c r="DC49" s="28" t="s">
        <v>1009</v>
      </c>
      <c r="DD49" s="28" t="s">
        <v>1009</v>
      </c>
      <c r="DE49" s="28"/>
      <c r="DF49" s="12">
        <v>48</v>
      </c>
      <c r="DH49" s="97">
        <v>18</v>
      </c>
      <c r="DI49" s="12" t="s">
        <v>1294</v>
      </c>
      <c r="DJ49" s="43">
        <v>-8</v>
      </c>
      <c r="DK49" s="12">
        <v>-85</v>
      </c>
      <c r="DL49" s="12">
        <v>0</v>
      </c>
      <c r="DM49" s="12">
        <v>-8</v>
      </c>
      <c r="DN49" s="98">
        <v>4</v>
      </c>
      <c r="DQ49" s="35">
        <v>46</v>
      </c>
      <c r="DR49" s="21">
        <v>43</v>
      </c>
      <c r="DS49" s="21">
        <v>68</v>
      </c>
      <c r="DT49" s="32">
        <v>25</v>
      </c>
      <c r="DU49" s="21">
        <v>111</v>
      </c>
      <c r="DV49" s="31">
        <f t="shared" si="112"/>
        <v>146</v>
      </c>
      <c r="DW49" s="30">
        <f t="shared" si="113"/>
        <v>198</v>
      </c>
      <c r="DX49" s="36">
        <v>25</v>
      </c>
      <c r="DY49" s="23">
        <v>113</v>
      </c>
      <c r="DZ49" s="12">
        <v>47</v>
      </c>
      <c r="EA49" s="12">
        <f t="shared" si="85"/>
        <v>271</v>
      </c>
      <c r="EB49" s="12">
        <f t="shared" si="86"/>
        <v>258</v>
      </c>
      <c r="EC49" s="12">
        <f t="shared" si="87"/>
        <v>248</v>
      </c>
      <c r="ED49" s="12">
        <f t="shared" si="88"/>
        <v>211</v>
      </c>
      <c r="EE49" s="12">
        <f t="shared" si="89"/>
        <v>184</v>
      </c>
      <c r="EF49" s="12">
        <f t="shared" si="90"/>
        <v>167</v>
      </c>
      <c r="EG49" s="12">
        <f t="shared" si="91"/>
        <v>157</v>
      </c>
      <c r="EH49" s="12">
        <f t="shared" si="92"/>
        <v>157</v>
      </c>
      <c r="EI49" s="12">
        <f t="shared" si="93"/>
        <v>147</v>
      </c>
      <c r="EJ49" s="12">
        <f t="shared" si="94"/>
        <v>137</v>
      </c>
      <c r="EK49" s="12">
        <f t="shared" si="95"/>
        <v>201</v>
      </c>
      <c r="EL49" s="12">
        <f t="shared" si="96"/>
        <v>157</v>
      </c>
      <c r="EM49" s="12">
        <f t="shared" si="97"/>
        <v>147</v>
      </c>
      <c r="EN49" s="12">
        <f t="shared" si="98"/>
        <v>164</v>
      </c>
      <c r="EO49" s="12">
        <f t="shared" si="99"/>
        <v>137</v>
      </c>
      <c r="EP49" s="12">
        <f t="shared" si="100"/>
        <v>127</v>
      </c>
      <c r="EQ49" s="12">
        <f t="shared" si="101"/>
        <v>117</v>
      </c>
      <c r="ER49" s="12">
        <f t="shared" si="102"/>
        <v>154</v>
      </c>
      <c r="ES49" s="12">
        <f t="shared" si="103"/>
        <v>134</v>
      </c>
      <c r="ET49" s="12">
        <f t="shared" si="104"/>
        <v>107</v>
      </c>
      <c r="EU49" s="12">
        <f t="shared" si="105"/>
        <v>124</v>
      </c>
      <c r="EV49" s="12">
        <f t="shared" si="106"/>
        <v>107</v>
      </c>
      <c r="EW49" s="12">
        <f t="shared" si="107"/>
        <v>87</v>
      </c>
      <c r="EX49" s="12">
        <f t="shared" si="108"/>
        <v>77</v>
      </c>
      <c r="EY49" s="12">
        <f t="shared" si="109"/>
        <v>57</v>
      </c>
      <c r="EZ49" s="12">
        <v>49</v>
      </c>
      <c r="FH49" s="12">
        <v>1850000</v>
      </c>
      <c r="FI49" s="12">
        <v>47</v>
      </c>
      <c r="FJ49" s="12">
        <v>1850000</v>
      </c>
    </row>
    <row r="50" spans="1:166" ht="13.35" customHeight="1" thickBot="1" x14ac:dyDescent="0.25">
      <c r="A50" s="21">
        <f t="shared" si="110"/>
        <v>49</v>
      </c>
      <c r="B50" s="21">
        <v>0</v>
      </c>
      <c r="C50" s="21">
        <f t="shared" si="111"/>
        <v>49</v>
      </c>
      <c r="E50" s="27" t="s">
        <v>695</v>
      </c>
      <c r="F50" s="28" t="s">
        <v>973</v>
      </c>
      <c r="G50" s="28" t="s">
        <v>977</v>
      </c>
      <c r="H50" s="28" t="s">
        <v>980</v>
      </c>
      <c r="I50" s="28" t="s">
        <v>976</v>
      </c>
      <c r="J50" s="28" t="s">
        <v>972</v>
      </c>
      <c r="K50" s="28" t="s">
        <v>990</v>
      </c>
      <c r="L50" s="28" t="s">
        <v>990</v>
      </c>
      <c r="M50" s="28" t="s">
        <v>990</v>
      </c>
      <c r="N50" s="28" t="s">
        <v>986</v>
      </c>
      <c r="O50" s="28" t="s">
        <v>986</v>
      </c>
      <c r="P50" s="28" t="s">
        <v>990</v>
      </c>
      <c r="Q50" s="28" t="s">
        <v>990</v>
      </c>
      <c r="R50" s="28" t="s">
        <v>972</v>
      </c>
      <c r="S50" s="28" t="s">
        <v>990</v>
      </c>
      <c r="T50" s="28" t="s">
        <v>982</v>
      </c>
      <c r="U50" s="28" t="s">
        <v>986</v>
      </c>
      <c r="V50" s="28" t="s">
        <v>987</v>
      </c>
      <c r="W50" s="28" t="s">
        <v>974</v>
      </c>
      <c r="X50" s="28" t="s">
        <v>973</v>
      </c>
      <c r="Y50" s="28" t="s">
        <v>975</v>
      </c>
      <c r="Z50" s="28"/>
      <c r="AA50" s="28" t="s">
        <v>986</v>
      </c>
      <c r="AB50" s="28" t="s">
        <v>986</v>
      </c>
      <c r="AC50" s="28" t="s">
        <v>982</v>
      </c>
      <c r="AD50" s="28" t="s">
        <v>976</v>
      </c>
      <c r="AE50" s="28"/>
      <c r="AF50" s="28" t="s">
        <v>990</v>
      </c>
      <c r="AG50" s="28" t="s">
        <v>990</v>
      </c>
      <c r="AH50" s="28" t="s">
        <v>987</v>
      </c>
      <c r="AI50" s="28"/>
      <c r="AJ50" s="28" t="s">
        <v>986</v>
      </c>
      <c r="AK50" s="28" t="s">
        <v>973</v>
      </c>
      <c r="AL50" s="28" t="s">
        <v>1027</v>
      </c>
      <c r="AM50" s="28" t="s">
        <v>990</v>
      </c>
      <c r="AN50" s="28"/>
      <c r="AO50" s="28" t="s">
        <v>990</v>
      </c>
      <c r="AP50" s="28" t="s">
        <v>990</v>
      </c>
      <c r="AQ50" s="28" t="s">
        <v>973</v>
      </c>
      <c r="AR50" s="28"/>
      <c r="AS50" s="28" t="s">
        <v>990</v>
      </c>
      <c r="AT50" s="28" t="s">
        <v>990</v>
      </c>
      <c r="AU50" s="28" t="s">
        <v>990</v>
      </c>
      <c r="AV50" s="28" t="s">
        <v>990</v>
      </c>
      <c r="AW50" s="28" t="s">
        <v>990</v>
      </c>
      <c r="AX50" s="28" t="s">
        <v>990</v>
      </c>
      <c r="AY50" s="28" t="s">
        <v>990</v>
      </c>
      <c r="AZ50" s="28" t="s">
        <v>990</v>
      </c>
      <c r="BA50" s="28" t="s">
        <v>990</v>
      </c>
      <c r="BB50" s="28" t="s">
        <v>990</v>
      </c>
      <c r="BC50" s="28" t="s">
        <v>990</v>
      </c>
      <c r="BD50" s="28" t="s">
        <v>990</v>
      </c>
      <c r="BE50" s="28" t="s">
        <v>990</v>
      </c>
      <c r="BF50" s="28" t="s">
        <v>990</v>
      </c>
      <c r="BG50" s="28" t="s">
        <v>990</v>
      </c>
      <c r="BH50" s="28" t="s">
        <v>990</v>
      </c>
      <c r="BI50" s="28" t="s">
        <v>990</v>
      </c>
      <c r="BJ50" s="28" t="s">
        <v>990</v>
      </c>
      <c r="BK50" s="28" t="s">
        <v>990</v>
      </c>
      <c r="BL50" s="28" t="s">
        <v>990</v>
      </c>
      <c r="BM50" s="28" t="s">
        <v>990</v>
      </c>
      <c r="BN50" s="28" t="s">
        <v>990</v>
      </c>
      <c r="BO50" s="28" t="s">
        <v>990</v>
      </c>
      <c r="BP50" s="28" t="s">
        <v>990</v>
      </c>
      <c r="BQ50" s="28" t="s">
        <v>990</v>
      </c>
      <c r="BR50" s="28" t="s">
        <v>990</v>
      </c>
      <c r="BS50" s="28" t="s">
        <v>990</v>
      </c>
      <c r="BT50" s="28" t="s">
        <v>990</v>
      </c>
      <c r="BU50" s="28" t="s">
        <v>990</v>
      </c>
      <c r="BV50" s="28" t="s">
        <v>990</v>
      </c>
      <c r="BW50" s="28" t="s">
        <v>990</v>
      </c>
      <c r="BX50" s="28" t="s">
        <v>990</v>
      </c>
      <c r="BY50" s="28" t="s">
        <v>990</v>
      </c>
      <c r="BZ50" s="28" t="s">
        <v>990</v>
      </c>
      <c r="CA50" s="28" t="s">
        <v>990</v>
      </c>
      <c r="CB50" s="28" t="s">
        <v>990</v>
      </c>
      <c r="CC50" s="28" t="s">
        <v>990</v>
      </c>
      <c r="CD50" s="28" t="s">
        <v>990</v>
      </c>
      <c r="CE50" s="28" t="s">
        <v>990</v>
      </c>
      <c r="CF50" s="28" t="s">
        <v>990</v>
      </c>
      <c r="CG50" s="28" t="s">
        <v>990</v>
      </c>
      <c r="CH50" s="28" t="s">
        <v>990</v>
      </c>
      <c r="CI50" s="28" t="s">
        <v>990</v>
      </c>
      <c r="CJ50" s="28" t="s">
        <v>990</v>
      </c>
      <c r="CK50" s="28" t="s">
        <v>990</v>
      </c>
      <c r="CL50" s="28" t="s">
        <v>990</v>
      </c>
      <c r="CM50" s="28" t="s">
        <v>990</v>
      </c>
      <c r="CN50" s="28" t="s">
        <v>990</v>
      </c>
      <c r="CO50" s="28" t="s">
        <v>990</v>
      </c>
      <c r="CP50" s="28" t="s">
        <v>990</v>
      </c>
      <c r="CQ50" s="28" t="s">
        <v>990</v>
      </c>
      <c r="CR50" s="28"/>
      <c r="CS50" s="28" t="s">
        <v>986</v>
      </c>
      <c r="CT50" s="28" t="s">
        <v>982</v>
      </c>
      <c r="CU50" s="28" t="s">
        <v>976</v>
      </c>
      <c r="CV50" s="28" t="s">
        <v>980</v>
      </c>
      <c r="CW50" s="28"/>
      <c r="CX50" s="28" t="s">
        <v>986</v>
      </c>
      <c r="CY50" s="28" t="s">
        <v>990</v>
      </c>
      <c r="CZ50" s="28" t="s">
        <v>986</v>
      </c>
      <c r="DA50" s="28" t="s">
        <v>986</v>
      </c>
      <c r="DB50" s="28" t="s">
        <v>990</v>
      </c>
      <c r="DC50" s="28" t="s">
        <v>990</v>
      </c>
      <c r="DD50" s="28" t="s">
        <v>990</v>
      </c>
      <c r="DE50" s="28"/>
      <c r="DF50" s="12">
        <v>49</v>
      </c>
      <c r="DH50" s="97">
        <v>19</v>
      </c>
      <c r="DI50" s="12" t="s">
        <v>1297</v>
      </c>
      <c r="DJ50" s="43">
        <v>-21</v>
      </c>
      <c r="DK50" s="12">
        <v>-119</v>
      </c>
      <c r="DL50" s="12">
        <v>17</v>
      </c>
      <c r="DM50" s="12">
        <v>17</v>
      </c>
      <c r="DN50" s="98">
        <v>4</v>
      </c>
      <c r="DQ50" s="35">
        <v>47</v>
      </c>
      <c r="DR50" s="21">
        <v>44</v>
      </c>
      <c r="DS50" s="21">
        <v>69</v>
      </c>
      <c r="DT50" s="32">
        <v>25</v>
      </c>
      <c r="DU50" s="21">
        <v>112</v>
      </c>
      <c r="DV50" s="31">
        <f t="shared" si="112"/>
        <v>147</v>
      </c>
      <c r="DW50" s="30">
        <f t="shared" si="113"/>
        <v>201</v>
      </c>
      <c r="DX50" s="36">
        <v>25</v>
      </c>
      <c r="DY50" s="23">
        <v>113.5</v>
      </c>
      <c r="DZ50" s="12">
        <v>48</v>
      </c>
      <c r="EA50" s="12">
        <f t="shared" si="85"/>
        <v>274</v>
      </c>
      <c r="EB50" s="12">
        <f t="shared" si="86"/>
        <v>262</v>
      </c>
      <c r="EC50" s="12">
        <f t="shared" si="87"/>
        <v>252</v>
      </c>
      <c r="ED50" s="12">
        <f t="shared" si="88"/>
        <v>214</v>
      </c>
      <c r="EE50" s="12">
        <f t="shared" si="89"/>
        <v>186</v>
      </c>
      <c r="EF50" s="12">
        <f t="shared" si="90"/>
        <v>168</v>
      </c>
      <c r="EG50" s="12">
        <f t="shared" si="91"/>
        <v>158</v>
      </c>
      <c r="EH50" s="12">
        <f t="shared" si="92"/>
        <v>158</v>
      </c>
      <c r="EI50" s="12">
        <f t="shared" si="93"/>
        <v>148</v>
      </c>
      <c r="EJ50" s="12">
        <f t="shared" si="94"/>
        <v>138</v>
      </c>
      <c r="EK50" s="12">
        <f t="shared" si="95"/>
        <v>204</v>
      </c>
      <c r="EL50" s="12">
        <f t="shared" si="96"/>
        <v>158</v>
      </c>
      <c r="EM50" s="12">
        <f t="shared" si="97"/>
        <v>148</v>
      </c>
      <c r="EN50" s="12">
        <f t="shared" si="98"/>
        <v>166</v>
      </c>
      <c r="EO50" s="12">
        <f t="shared" si="99"/>
        <v>138</v>
      </c>
      <c r="EP50" s="12">
        <f t="shared" si="100"/>
        <v>128</v>
      </c>
      <c r="EQ50" s="12">
        <f t="shared" si="101"/>
        <v>118</v>
      </c>
      <c r="ER50" s="12">
        <f t="shared" si="102"/>
        <v>156</v>
      </c>
      <c r="ES50" s="12">
        <f t="shared" si="103"/>
        <v>136</v>
      </c>
      <c r="ET50" s="12">
        <f t="shared" si="104"/>
        <v>108</v>
      </c>
      <c r="EU50" s="12">
        <f t="shared" si="105"/>
        <v>126</v>
      </c>
      <c r="EV50" s="12">
        <f t="shared" si="106"/>
        <v>108</v>
      </c>
      <c r="EW50" s="12">
        <f t="shared" si="107"/>
        <v>88</v>
      </c>
      <c r="EX50" s="12">
        <f t="shared" si="108"/>
        <v>78</v>
      </c>
      <c r="EY50" s="12">
        <f t="shared" si="109"/>
        <v>58</v>
      </c>
      <c r="EZ50" s="12">
        <v>50</v>
      </c>
      <c r="FH50" s="12">
        <v>1900000</v>
      </c>
      <c r="FI50" s="12">
        <v>48</v>
      </c>
      <c r="FJ50" s="12">
        <v>1900000</v>
      </c>
    </row>
    <row r="51" spans="1:166" ht="13.35" customHeight="1" thickBot="1" x14ac:dyDescent="0.25">
      <c r="A51" s="21">
        <f t="shared" si="110"/>
        <v>50</v>
      </c>
      <c r="B51" s="21">
        <v>0</v>
      </c>
      <c r="C51" s="21">
        <f t="shared" si="111"/>
        <v>50</v>
      </c>
      <c r="E51" s="27" t="s">
        <v>701</v>
      </c>
      <c r="F51" s="28" t="s">
        <v>974</v>
      </c>
      <c r="G51" s="28" t="s">
        <v>991</v>
      </c>
      <c r="H51" s="28" t="s">
        <v>972</v>
      </c>
      <c r="I51" s="28" t="s">
        <v>986</v>
      </c>
      <c r="J51" s="28" t="s">
        <v>982</v>
      </c>
      <c r="K51" s="28" t="s">
        <v>968</v>
      </c>
      <c r="L51" s="28" t="s">
        <v>968</v>
      </c>
      <c r="M51" s="28" t="s">
        <v>983</v>
      </c>
      <c r="N51" s="28" t="s">
        <v>983</v>
      </c>
      <c r="O51" s="28" t="s">
        <v>983</v>
      </c>
      <c r="P51" s="28" t="s">
        <v>983</v>
      </c>
      <c r="Q51" s="28" t="s">
        <v>968</v>
      </c>
      <c r="R51" s="28" t="s">
        <v>968</v>
      </c>
      <c r="S51" s="28" t="s">
        <v>968</v>
      </c>
      <c r="T51" s="28" t="s">
        <v>987</v>
      </c>
      <c r="U51" s="28" t="s">
        <v>972</v>
      </c>
      <c r="V51" s="28" t="s">
        <v>985</v>
      </c>
      <c r="W51" s="28" t="s">
        <v>988</v>
      </c>
      <c r="X51" s="28" t="s">
        <v>988</v>
      </c>
      <c r="Y51" s="28" t="s">
        <v>987</v>
      </c>
      <c r="Z51" s="28"/>
      <c r="AA51" s="28" t="s">
        <v>968</v>
      </c>
      <c r="AB51" s="28" t="s">
        <v>968</v>
      </c>
      <c r="AC51" s="28" t="s">
        <v>986</v>
      </c>
      <c r="AD51" s="28" t="s">
        <v>1027</v>
      </c>
      <c r="AE51" s="28"/>
      <c r="AF51" s="28" t="s">
        <v>968</v>
      </c>
      <c r="AG51" s="28" t="s">
        <v>968</v>
      </c>
      <c r="AH51" s="28" t="s">
        <v>988</v>
      </c>
      <c r="AI51" s="28"/>
      <c r="AJ51" s="28" t="s">
        <v>972</v>
      </c>
      <c r="AK51" s="28" t="s">
        <v>968</v>
      </c>
      <c r="AL51" s="28" t="s">
        <v>983</v>
      </c>
      <c r="AM51" s="28" t="s">
        <v>968</v>
      </c>
      <c r="AN51" s="28"/>
      <c r="AO51" s="28" t="s">
        <v>968</v>
      </c>
      <c r="AP51" s="28" t="s">
        <v>968</v>
      </c>
      <c r="AQ51" s="28" t="s">
        <v>988</v>
      </c>
      <c r="AR51" s="28"/>
      <c r="AS51" s="28" t="s">
        <v>984</v>
      </c>
      <c r="AT51" s="28" t="s">
        <v>984</v>
      </c>
      <c r="AU51" s="28" t="s">
        <v>984</v>
      </c>
      <c r="AV51" s="28" t="s">
        <v>984</v>
      </c>
      <c r="AW51" s="28" t="s">
        <v>984</v>
      </c>
      <c r="AX51" s="28" t="s">
        <v>984</v>
      </c>
      <c r="AY51" s="28" t="s">
        <v>984</v>
      </c>
      <c r="AZ51" s="28" t="s">
        <v>984</v>
      </c>
      <c r="BA51" s="28" t="s">
        <v>984</v>
      </c>
      <c r="BB51" s="28" t="s">
        <v>984</v>
      </c>
      <c r="BC51" s="28" t="s">
        <v>984</v>
      </c>
      <c r="BD51" s="28" t="s">
        <v>984</v>
      </c>
      <c r="BE51" s="28" t="s">
        <v>984</v>
      </c>
      <c r="BF51" s="28" t="s">
        <v>984</v>
      </c>
      <c r="BG51" s="28" t="s">
        <v>984</v>
      </c>
      <c r="BH51" s="28" t="s">
        <v>984</v>
      </c>
      <c r="BI51" s="28" t="s">
        <v>984</v>
      </c>
      <c r="BJ51" s="28" t="s">
        <v>984</v>
      </c>
      <c r="BK51" s="28" t="s">
        <v>984</v>
      </c>
      <c r="BL51" s="28" t="s">
        <v>984</v>
      </c>
      <c r="BM51" s="28" t="s">
        <v>984</v>
      </c>
      <c r="BN51" s="28" t="s">
        <v>984</v>
      </c>
      <c r="BO51" s="28" t="s">
        <v>984</v>
      </c>
      <c r="BP51" s="28" t="s">
        <v>984</v>
      </c>
      <c r="BQ51" s="28" t="s">
        <v>984</v>
      </c>
      <c r="BR51" s="28" t="s">
        <v>984</v>
      </c>
      <c r="BS51" s="28" t="s">
        <v>984</v>
      </c>
      <c r="BT51" s="28" t="s">
        <v>984</v>
      </c>
      <c r="BU51" s="28" t="s">
        <v>984</v>
      </c>
      <c r="BV51" s="28" t="s">
        <v>984</v>
      </c>
      <c r="BW51" s="28" t="s">
        <v>984</v>
      </c>
      <c r="BX51" s="28" t="s">
        <v>984</v>
      </c>
      <c r="BY51" s="28" t="s">
        <v>984</v>
      </c>
      <c r="BZ51" s="28" t="s">
        <v>984</v>
      </c>
      <c r="CA51" s="28" t="s">
        <v>984</v>
      </c>
      <c r="CB51" s="28" t="s">
        <v>984</v>
      </c>
      <c r="CC51" s="28" t="s">
        <v>984</v>
      </c>
      <c r="CD51" s="28" t="s">
        <v>984</v>
      </c>
      <c r="CE51" s="28" t="s">
        <v>984</v>
      </c>
      <c r="CF51" s="28" t="s">
        <v>984</v>
      </c>
      <c r="CG51" s="28" t="s">
        <v>984</v>
      </c>
      <c r="CH51" s="28" t="s">
        <v>984</v>
      </c>
      <c r="CI51" s="28" t="s">
        <v>984</v>
      </c>
      <c r="CJ51" s="28" t="s">
        <v>984</v>
      </c>
      <c r="CK51" s="28" t="s">
        <v>984</v>
      </c>
      <c r="CL51" s="28" t="s">
        <v>984</v>
      </c>
      <c r="CM51" s="28" t="s">
        <v>984</v>
      </c>
      <c r="CN51" s="28" t="s">
        <v>984</v>
      </c>
      <c r="CO51" s="28" t="s">
        <v>984</v>
      </c>
      <c r="CP51" s="28" t="s">
        <v>984</v>
      </c>
      <c r="CQ51" s="28" t="s">
        <v>984</v>
      </c>
      <c r="CR51" s="28"/>
      <c r="CS51" s="28" t="s">
        <v>974</v>
      </c>
      <c r="CT51" s="28" t="s">
        <v>991</v>
      </c>
      <c r="CU51" s="28" t="s">
        <v>982</v>
      </c>
      <c r="CV51" s="28" t="s">
        <v>991</v>
      </c>
      <c r="CW51" s="28"/>
      <c r="CX51" s="28" t="s">
        <v>991</v>
      </c>
      <c r="CY51" s="28" t="s">
        <v>983</v>
      </c>
      <c r="CZ51" s="28" t="s">
        <v>983</v>
      </c>
      <c r="DA51" s="28" t="s">
        <v>974</v>
      </c>
      <c r="DB51" s="28" t="s">
        <v>986</v>
      </c>
      <c r="DC51" s="28" t="s">
        <v>983</v>
      </c>
      <c r="DD51" s="28" t="s">
        <v>985</v>
      </c>
      <c r="DE51" s="28"/>
      <c r="DF51" s="12">
        <v>50</v>
      </c>
      <c r="DH51" s="99">
        <v>20</v>
      </c>
      <c r="DI51" s="100" t="s">
        <v>1301</v>
      </c>
      <c r="DJ51" s="102">
        <v>-30</v>
      </c>
      <c r="DK51" s="100">
        <v>-131</v>
      </c>
      <c r="DL51" s="100">
        <v>25</v>
      </c>
      <c r="DM51" s="102">
        <v>25</v>
      </c>
      <c r="DN51" s="101">
        <v>4</v>
      </c>
      <c r="DQ51" s="35">
        <v>48</v>
      </c>
      <c r="DR51" s="21">
        <v>44</v>
      </c>
      <c r="DS51" s="21">
        <v>69</v>
      </c>
      <c r="DT51" s="32">
        <v>25</v>
      </c>
      <c r="DU51" s="21">
        <v>113</v>
      </c>
      <c r="DV51" s="31">
        <f t="shared" si="112"/>
        <v>148</v>
      </c>
      <c r="DW51" s="30">
        <f t="shared" si="113"/>
        <v>204</v>
      </c>
      <c r="DX51" s="36">
        <v>25</v>
      </c>
      <c r="DY51" s="23">
        <v>114</v>
      </c>
      <c r="DZ51" s="12">
        <v>49</v>
      </c>
      <c r="EA51" s="12">
        <f t="shared" si="85"/>
        <v>277</v>
      </c>
      <c r="EB51" s="12">
        <f t="shared" si="86"/>
        <v>266</v>
      </c>
      <c r="EC51" s="12">
        <f t="shared" si="87"/>
        <v>256</v>
      </c>
      <c r="ED51" s="12">
        <f t="shared" si="88"/>
        <v>217</v>
      </c>
      <c r="EE51" s="12">
        <f t="shared" si="89"/>
        <v>188</v>
      </c>
      <c r="EF51" s="12">
        <f t="shared" si="90"/>
        <v>169</v>
      </c>
      <c r="EG51" s="12">
        <f t="shared" si="91"/>
        <v>159</v>
      </c>
      <c r="EH51" s="12">
        <f t="shared" si="92"/>
        <v>159</v>
      </c>
      <c r="EI51" s="12">
        <f t="shared" si="93"/>
        <v>149</v>
      </c>
      <c r="EJ51" s="12">
        <f t="shared" si="94"/>
        <v>139</v>
      </c>
      <c r="EK51" s="12">
        <f t="shared" si="95"/>
        <v>207</v>
      </c>
      <c r="EL51" s="12">
        <f t="shared" si="96"/>
        <v>159</v>
      </c>
      <c r="EM51" s="12">
        <f t="shared" si="97"/>
        <v>149</v>
      </c>
      <c r="EN51" s="12">
        <f t="shared" si="98"/>
        <v>168</v>
      </c>
      <c r="EO51" s="12">
        <f t="shared" si="99"/>
        <v>139</v>
      </c>
      <c r="EP51" s="12">
        <f t="shared" si="100"/>
        <v>129</v>
      </c>
      <c r="EQ51" s="12">
        <f t="shared" si="101"/>
        <v>119</v>
      </c>
      <c r="ER51" s="12">
        <f t="shared" si="102"/>
        <v>158</v>
      </c>
      <c r="ES51" s="12">
        <f t="shared" si="103"/>
        <v>138</v>
      </c>
      <c r="ET51" s="12">
        <f t="shared" si="104"/>
        <v>109</v>
      </c>
      <c r="EU51" s="12">
        <f t="shared" si="105"/>
        <v>128</v>
      </c>
      <c r="EV51" s="12">
        <f t="shared" si="106"/>
        <v>109</v>
      </c>
      <c r="EW51" s="12">
        <f t="shared" si="107"/>
        <v>89</v>
      </c>
      <c r="EX51" s="12">
        <f t="shared" si="108"/>
        <v>79</v>
      </c>
      <c r="EY51" s="12">
        <f t="shared" si="109"/>
        <v>59</v>
      </c>
      <c r="EZ51" s="12">
        <v>51</v>
      </c>
      <c r="FH51" s="12">
        <v>1950000</v>
      </c>
      <c r="FI51" s="12">
        <v>49</v>
      </c>
      <c r="FJ51" s="12">
        <v>1950000</v>
      </c>
    </row>
    <row r="52" spans="1:166" ht="13.35" customHeight="1" thickBot="1" x14ac:dyDescent="0.25">
      <c r="A52" s="21">
        <f t="shared" si="110"/>
        <v>51</v>
      </c>
      <c r="B52" s="21">
        <v>0</v>
      </c>
      <c r="C52" s="21">
        <f t="shared" si="111"/>
        <v>51</v>
      </c>
      <c r="E52" s="27" t="s">
        <v>707</v>
      </c>
      <c r="F52" s="28" t="s">
        <v>972</v>
      </c>
      <c r="G52" s="28" t="s">
        <v>1031</v>
      </c>
      <c r="H52" s="28" t="s">
        <v>1031</v>
      </c>
      <c r="I52" s="28" t="s">
        <v>983</v>
      </c>
      <c r="J52" s="28" t="s">
        <v>982</v>
      </c>
      <c r="K52" s="28" t="s">
        <v>1022</v>
      </c>
      <c r="L52" s="28" t="s">
        <v>1022</v>
      </c>
      <c r="M52" s="28" t="s">
        <v>984</v>
      </c>
      <c r="N52" s="28" t="s">
        <v>984</v>
      </c>
      <c r="O52" s="28" t="s">
        <v>969</v>
      </c>
      <c r="P52" s="28" t="s">
        <v>969</v>
      </c>
      <c r="Q52" s="28" t="s">
        <v>1022</v>
      </c>
      <c r="R52" s="28" t="s">
        <v>1022</v>
      </c>
      <c r="S52" s="28" t="s">
        <v>1022</v>
      </c>
      <c r="T52" s="28" t="s">
        <v>986</v>
      </c>
      <c r="U52" s="28" t="s">
        <v>1031</v>
      </c>
      <c r="V52" s="28" t="s">
        <v>969</v>
      </c>
      <c r="W52" s="28" t="s">
        <v>983</v>
      </c>
      <c r="X52" s="28" t="s">
        <v>983</v>
      </c>
      <c r="Y52" s="28" t="s">
        <v>986</v>
      </c>
      <c r="Z52" s="28"/>
      <c r="AA52" s="28" t="s">
        <v>1022</v>
      </c>
      <c r="AB52" s="28" t="s">
        <v>1022</v>
      </c>
      <c r="AC52" s="28" t="s">
        <v>983</v>
      </c>
      <c r="AD52" s="28" t="s">
        <v>989</v>
      </c>
      <c r="AE52" s="28"/>
      <c r="AF52" s="28" t="s">
        <v>1022</v>
      </c>
      <c r="AG52" s="28" t="s">
        <v>1022</v>
      </c>
      <c r="AH52" s="28" t="s">
        <v>983</v>
      </c>
      <c r="AI52" s="28"/>
      <c r="AJ52" s="28" t="s">
        <v>988</v>
      </c>
      <c r="AK52" s="28" t="s">
        <v>1022</v>
      </c>
      <c r="AL52" s="28" t="s">
        <v>1011</v>
      </c>
      <c r="AM52" s="28" t="s">
        <v>1022</v>
      </c>
      <c r="AN52" s="28"/>
      <c r="AO52" s="28" t="s">
        <v>1022</v>
      </c>
      <c r="AP52" s="28" t="s">
        <v>1022</v>
      </c>
      <c r="AQ52" s="28" t="s">
        <v>1099</v>
      </c>
      <c r="AR52" s="28"/>
      <c r="AS52" s="28" t="s">
        <v>911</v>
      </c>
      <c r="AT52" s="28" t="s">
        <v>911</v>
      </c>
      <c r="AU52" s="28" t="s">
        <v>911</v>
      </c>
      <c r="AV52" s="28" t="s">
        <v>911</v>
      </c>
      <c r="AW52" s="28" t="s">
        <v>911</v>
      </c>
      <c r="AX52" s="28" t="s">
        <v>911</v>
      </c>
      <c r="AY52" s="28" t="s">
        <v>911</v>
      </c>
      <c r="AZ52" s="28" t="s">
        <v>911</v>
      </c>
      <c r="BA52" s="28" t="s">
        <v>911</v>
      </c>
      <c r="BB52" s="28" t="s">
        <v>911</v>
      </c>
      <c r="BC52" s="28" t="s">
        <v>911</v>
      </c>
      <c r="BD52" s="28" t="s">
        <v>911</v>
      </c>
      <c r="BE52" s="28" t="s">
        <v>911</v>
      </c>
      <c r="BF52" s="28" t="s">
        <v>911</v>
      </c>
      <c r="BG52" s="28" t="s">
        <v>911</v>
      </c>
      <c r="BH52" s="28" t="s">
        <v>911</v>
      </c>
      <c r="BI52" s="28" t="s">
        <v>911</v>
      </c>
      <c r="BJ52" s="28" t="s">
        <v>911</v>
      </c>
      <c r="BK52" s="28" t="s">
        <v>911</v>
      </c>
      <c r="BL52" s="28" t="s">
        <v>911</v>
      </c>
      <c r="BM52" s="28" t="s">
        <v>911</v>
      </c>
      <c r="BN52" s="28" t="s">
        <v>911</v>
      </c>
      <c r="BO52" s="28" t="s">
        <v>911</v>
      </c>
      <c r="BP52" s="28" t="s">
        <v>911</v>
      </c>
      <c r="BQ52" s="28" t="s">
        <v>911</v>
      </c>
      <c r="BR52" s="28" t="s">
        <v>911</v>
      </c>
      <c r="BS52" s="28" t="s">
        <v>911</v>
      </c>
      <c r="BT52" s="28" t="s">
        <v>911</v>
      </c>
      <c r="BU52" s="28" t="s">
        <v>911</v>
      </c>
      <c r="BV52" s="28" t="s">
        <v>911</v>
      </c>
      <c r="BW52" s="28" t="s">
        <v>911</v>
      </c>
      <c r="BX52" s="28" t="s">
        <v>911</v>
      </c>
      <c r="BY52" s="28" t="s">
        <v>911</v>
      </c>
      <c r="BZ52" s="28" t="s">
        <v>911</v>
      </c>
      <c r="CA52" s="28" t="s">
        <v>911</v>
      </c>
      <c r="CB52" s="28" t="s">
        <v>911</v>
      </c>
      <c r="CC52" s="28" t="s">
        <v>911</v>
      </c>
      <c r="CD52" s="28" t="s">
        <v>911</v>
      </c>
      <c r="CE52" s="28" t="s">
        <v>911</v>
      </c>
      <c r="CF52" s="28" t="s">
        <v>911</v>
      </c>
      <c r="CG52" s="28" t="s">
        <v>911</v>
      </c>
      <c r="CH52" s="28" t="s">
        <v>911</v>
      </c>
      <c r="CI52" s="28" t="s">
        <v>911</v>
      </c>
      <c r="CJ52" s="28" t="s">
        <v>911</v>
      </c>
      <c r="CK52" s="28" t="s">
        <v>911</v>
      </c>
      <c r="CL52" s="28" t="s">
        <v>911</v>
      </c>
      <c r="CM52" s="28" t="s">
        <v>911</v>
      </c>
      <c r="CN52" s="28" t="s">
        <v>911</v>
      </c>
      <c r="CO52" s="28" t="s">
        <v>911</v>
      </c>
      <c r="CP52" s="28" t="s">
        <v>911</v>
      </c>
      <c r="CQ52" s="28" t="s">
        <v>911</v>
      </c>
      <c r="CR52" s="28"/>
      <c r="CS52" s="28" t="s">
        <v>972</v>
      </c>
      <c r="CT52" s="28" t="s">
        <v>988</v>
      </c>
      <c r="CU52" s="28" t="s">
        <v>1031</v>
      </c>
      <c r="CV52" s="28" t="s">
        <v>991</v>
      </c>
      <c r="CW52" s="28"/>
      <c r="CX52" s="28" t="s">
        <v>988</v>
      </c>
      <c r="CY52" s="28" t="s">
        <v>984</v>
      </c>
      <c r="CZ52" s="28" t="s">
        <v>984</v>
      </c>
      <c r="DA52" s="28" t="s">
        <v>972</v>
      </c>
      <c r="DB52" s="28" t="s">
        <v>968</v>
      </c>
      <c r="DC52" s="28" t="s">
        <v>984</v>
      </c>
      <c r="DD52" s="28" t="s">
        <v>984</v>
      </c>
      <c r="DE52" s="28"/>
      <c r="DF52" s="12">
        <v>51</v>
      </c>
      <c r="DQ52" s="35">
        <v>49</v>
      </c>
      <c r="DR52" s="21">
        <v>45</v>
      </c>
      <c r="DS52" s="21">
        <v>70</v>
      </c>
      <c r="DT52" s="32">
        <v>25</v>
      </c>
      <c r="DU52" s="21">
        <v>114</v>
      </c>
      <c r="DV52" s="31">
        <f t="shared" si="112"/>
        <v>149</v>
      </c>
      <c r="DW52" s="30">
        <f t="shared" si="113"/>
        <v>207</v>
      </c>
      <c r="DX52" s="36">
        <v>25</v>
      </c>
      <c r="DY52" s="23">
        <v>114.5</v>
      </c>
      <c r="DZ52" s="20">
        <v>50</v>
      </c>
      <c r="EA52" s="12">
        <f t="shared" si="85"/>
        <v>280</v>
      </c>
      <c r="EB52" s="78">
        <f t="shared" si="86"/>
        <v>270</v>
      </c>
      <c r="EC52" s="78">
        <f t="shared" si="87"/>
        <v>260</v>
      </c>
      <c r="ED52" s="78">
        <f t="shared" si="88"/>
        <v>220</v>
      </c>
      <c r="EE52" s="78">
        <f t="shared" si="89"/>
        <v>190</v>
      </c>
      <c r="EF52" s="78">
        <f t="shared" si="90"/>
        <v>170</v>
      </c>
      <c r="EG52" s="78">
        <f t="shared" si="91"/>
        <v>160</v>
      </c>
      <c r="EH52" s="78">
        <f t="shared" si="92"/>
        <v>160</v>
      </c>
      <c r="EI52" s="78">
        <f t="shared" si="93"/>
        <v>150</v>
      </c>
      <c r="EJ52" s="78">
        <f t="shared" si="94"/>
        <v>140</v>
      </c>
      <c r="EK52" s="78">
        <f t="shared" si="95"/>
        <v>210</v>
      </c>
      <c r="EL52" s="78">
        <f t="shared" si="96"/>
        <v>160</v>
      </c>
      <c r="EM52" s="78">
        <f t="shared" si="97"/>
        <v>150</v>
      </c>
      <c r="EN52" s="78">
        <f t="shared" si="98"/>
        <v>170</v>
      </c>
      <c r="EO52" s="78">
        <f t="shared" si="99"/>
        <v>140</v>
      </c>
      <c r="EP52" s="78">
        <f t="shared" si="100"/>
        <v>130</v>
      </c>
      <c r="EQ52" s="78">
        <f t="shared" si="101"/>
        <v>120</v>
      </c>
      <c r="ER52" s="78">
        <f t="shared" si="102"/>
        <v>160</v>
      </c>
      <c r="ES52" s="78">
        <f t="shared" si="103"/>
        <v>140</v>
      </c>
      <c r="ET52" s="78">
        <f t="shared" si="104"/>
        <v>110</v>
      </c>
      <c r="EU52" s="78">
        <f t="shared" si="105"/>
        <v>130</v>
      </c>
      <c r="EV52" s="78">
        <f t="shared" si="106"/>
        <v>110</v>
      </c>
      <c r="EW52" s="78">
        <f t="shared" si="107"/>
        <v>90</v>
      </c>
      <c r="EX52" s="78">
        <f t="shared" si="108"/>
        <v>80</v>
      </c>
      <c r="EY52" s="78">
        <f t="shared" si="109"/>
        <v>60</v>
      </c>
      <c r="EZ52" s="78">
        <v>52</v>
      </c>
      <c r="FH52" s="12">
        <v>2000000</v>
      </c>
      <c r="FI52" s="12">
        <v>50</v>
      </c>
      <c r="FJ52" s="12">
        <v>2000000</v>
      </c>
    </row>
    <row r="53" spans="1:166" ht="13.35" customHeight="1" x14ac:dyDescent="0.2">
      <c r="A53" s="21">
        <f t="shared" si="110"/>
        <v>52</v>
      </c>
      <c r="B53" s="21">
        <v>0</v>
      </c>
      <c r="C53" s="21">
        <f t="shared" si="111"/>
        <v>52</v>
      </c>
      <c r="E53" s="27" t="s">
        <v>711</v>
      </c>
      <c r="F53" s="28" t="s">
        <v>991</v>
      </c>
      <c r="G53" s="28" t="s">
        <v>986</v>
      </c>
      <c r="H53" s="28" t="s">
        <v>988</v>
      </c>
      <c r="I53" s="28" t="s">
        <v>969</v>
      </c>
      <c r="J53" s="28" t="s">
        <v>986</v>
      </c>
      <c r="K53" s="28" t="s">
        <v>1022</v>
      </c>
      <c r="L53" s="28" t="s">
        <v>1022</v>
      </c>
      <c r="M53" s="28" t="s">
        <v>968</v>
      </c>
      <c r="N53" s="28" t="s">
        <v>968</v>
      </c>
      <c r="O53" s="28" t="s">
        <v>1011</v>
      </c>
      <c r="P53" s="28" t="s">
        <v>1011</v>
      </c>
      <c r="Q53" s="28" t="s">
        <v>1022</v>
      </c>
      <c r="R53" s="28" t="s">
        <v>1022</v>
      </c>
      <c r="S53" s="28" t="s">
        <v>1022</v>
      </c>
      <c r="T53" s="28" t="s">
        <v>983</v>
      </c>
      <c r="U53" s="28" t="s">
        <v>986</v>
      </c>
      <c r="V53" s="28" t="s">
        <v>969</v>
      </c>
      <c r="W53" s="28" t="s">
        <v>984</v>
      </c>
      <c r="X53" s="28" t="s">
        <v>984</v>
      </c>
      <c r="Y53" s="28" t="s">
        <v>983</v>
      </c>
      <c r="Z53" s="28"/>
      <c r="AA53" s="28" t="s">
        <v>1022</v>
      </c>
      <c r="AB53" s="28" t="s">
        <v>1022</v>
      </c>
      <c r="AC53" s="28" t="s">
        <v>983</v>
      </c>
      <c r="AD53" s="28" t="s">
        <v>986</v>
      </c>
      <c r="AE53" s="28"/>
      <c r="AF53" s="28" t="s">
        <v>1022</v>
      </c>
      <c r="AG53" s="28" t="s">
        <v>1022</v>
      </c>
      <c r="AH53" s="28" t="s">
        <v>984</v>
      </c>
      <c r="AI53" s="28"/>
      <c r="AJ53" s="28" t="s">
        <v>1010</v>
      </c>
      <c r="AK53" s="28" t="s">
        <v>1022</v>
      </c>
      <c r="AL53" s="28" t="s">
        <v>1022</v>
      </c>
      <c r="AM53" s="28" t="s">
        <v>1022</v>
      </c>
      <c r="AN53" s="28"/>
      <c r="AO53" s="28" t="s">
        <v>1022</v>
      </c>
      <c r="AP53" s="28" t="s">
        <v>1022</v>
      </c>
      <c r="AQ53" s="28" t="s">
        <v>983</v>
      </c>
      <c r="AR53" s="28"/>
      <c r="AS53" s="28" t="s">
        <v>1012</v>
      </c>
      <c r="AT53" s="28" t="s">
        <v>1012</v>
      </c>
      <c r="AU53" s="28" t="s">
        <v>1012</v>
      </c>
      <c r="AV53" s="28" t="s">
        <v>1012</v>
      </c>
      <c r="AW53" s="28" t="s">
        <v>1012</v>
      </c>
      <c r="AX53" s="28" t="s">
        <v>1012</v>
      </c>
      <c r="AY53" s="28" t="s">
        <v>1012</v>
      </c>
      <c r="AZ53" s="28" t="s">
        <v>1012</v>
      </c>
      <c r="BA53" s="28" t="s">
        <v>1012</v>
      </c>
      <c r="BB53" s="28" t="s">
        <v>1012</v>
      </c>
      <c r="BC53" s="28" t="s">
        <v>1012</v>
      </c>
      <c r="BD53" s="28" t="s">
        <v>1012</v>
      </c>
      <c r="BE53" s="28" t="s">
        <v>1012</v>
      </c>
      <c r="BF53" s="28" t="s">
        <v>1012</v>
      </c>
      <c r="BG53" s="28" t="s">
        <v>1012</v>
      </c>
      <c r="BH53" s="28" t="s">
        <v>1012</v>
      </c>
      <c r="BI53" s="28" t="s">
        <v>1012</v>
      </c>
      <c r="BJ53" s="28" t="s">
        <v>1012</v>
      </c>
      <c r="BK53" s="28" t="s">
        <v>1012</v>
      </c>
      <c r="BL53" s="28" t="s">
        <v>1012</v>
      </c>
      <c r="BM53" s="28" t="s">
        <v>1012</v>
      </c>
      <c r="BN53" s="28" t="s">
        <v>1012</v>
      </c>
      <c r="BO53" s="28" t="s">
        <v>1012</v>
      </c>
      <c r="BP53" s="28" t="s">
        <v>1012</v>
      </c>
      <c r="BQ53" s="28" t="s">
        <v>1012</v>
      </c>
      <c r="BR53" s="28" t="s">
        <v>1012</v>
      </c>
      <c r="BS53" s="28" t="s">
        <v>1012</v>
      </c>
      <c r="BT53" s="28" t="s">
        <v>1012</v>
      </c>
      <c r="BU53" s="28" t="s">
        <v>1012</v>
      </c>
      <c r="BV53" s="28" t="s">
        <v>1012</v>
      </c>
      <c r="BW53" s="28" t="s">
        <v>1012</v>
      </c>
      <c r="BX53" s="28" t="s">
        <v>1012</v>
      </c>
      <c r="BY53" s="28" t="s">
        <v>1012</v>
      </c>
      <c r="BZ53" s="28" t="s">
        <v>1012</v>
      </c>
      <c r="CA53" s="28" t="s">
        <v>1012</v>
      </c>
      <c r="CB53" s="28" t="s">
        <v>1012</v>
      </c>
      <c r="CC53" s="28" t="s">
        <v>1012</v>
      </c>
      <c r="CD53" s="28" t="s">
        <v>1012</v>
      </c>
      <c r="CE53" s="28" t="s">
        <v>1012</v>
      </c>
      <c r="CF53" s="28" t="s">
        <v>1012</v>
      </c>
      <c r="CG53" s="28" t="s">
        <v>1012</v>
      </c>
      <c r="CH53" s="28" t="s">
        <v>1012</v>
      </c>
      <c r="CI53" s="28" t="s">
        <v>1012</v>
      </c>
      <c r="CJ53" s="28" t="s">
        <v>1012</v>
      </c>
      <c r="CK53" s="28" t="s">
        <v>1012</v>
      </c>
      <c r="CL53" s="28" t="s">
        <v>1012</v>
      </c>
      <c r="CM53" s="28" t="s">
        <v>1012</v>
      </c>
      <c r="CN53" s="28" t="s">
        <v>1012</v>
      </c>
      <c r="CO53" s="28" t="s">
        <v>1012</v>
      </c>
      <c r="CP53" s="28" t="s">
        <v>1012</v>
      </c>
      <c r="CQ53" s="28" t="s">
        <v>1012</v>
      </c>
      <c r="CR53" s="28"/>
      <c r="CS53" s="28" t="s">
        <v>1031</v>
      </c>
      <c r="CT53" s="28" t="s">
        <v>988</v>
      </c>
      <c r="CU53" s="28" t="s">
        <v>985</v>
      </c>
      <c r="CV53" s="28" t="s">
        <v>987</v>
      </c>
      <c r="CW53" s="28"/>
      <c r="CX53" s="28" t="s">
        <v>986</v>
      </c>
      <c r="CY53" s="28" t="s">
        <v>968</v>
      </c>
      <c r="CZ53" s="28" t="s">
        <v>968</v>
      </c>
      <c r="DA53" s="28" t="s">
        <v>1031</v>
      </c>
      <c r="DB53" s="28" t="s">
        <v>1012</v>
      </c>
      <c r="DC53" s="28" t="s">
        <v>968</v>
      </c>
      <c r="DD53" s="28" t="s">
        <v>1012</v>
      </c>
      <c r="DE53" s="28"/>
      <c r="DF53" s="12">
        <v>52</v>
      </c>
      <c r="DJ53" s="12" t="s">
        <v>1308</v>
      </c>
      <c r="DK53" s="12" t="s">
        <v>1309</v>
      </c>
      <c r="DM53" s="12" t="s">
        <v>1308</v>
      </c>
      <c r="DQ53" s="35">
        <v>50</v>
      </c>
      <c r="DR53" s="21">
        <v>45</v>
      </c>
      <c r="DS53" s="72">
        <v>70</v>
      </c>
      <c r="DT53" s="32">
        <v>25</v>
      </c>
      <c r="DU53" s="21">
        <v>115</v>
      </c>
      <c r="DV53" s="31">
        <f t="shared" si="112"/>
        <v>150</v>
      </c>
      <c r="DW53" s="30">
        <f t="shared" si="113"/>
        <v>210</v>
      </c>
      <c r="DX53" s="36">
        <v>25</v>
      </c>
      <c r="DY53" s="23">
        <v>115</v>
      </c>
      <c r="DZ53" s="12">
        <v>51</v>
      </c>
      <c r="EA53" s="12">
        <f t="shared" si="85"/>
        <v>283</v>
      </c>
      <c r="EB53" s="12">
        <f t="shared" si="86"/>
        <v>274</v>
      </c>
      <c r="EC53" s="12">
        <f t="shared" si="87"/>
        <v>264</v>
      </c>
      <c r="ED53" s="12">
        <f t="shared" si="88"/>
        <v>223</v>
      </c>
      <c r="EE53" s="12">
        <f t="shared" si="89"/>
        <v>192</v>
      </c>
      <c r="EF53" s="12">
        <f t="shared" si="90"/>
        <v>171</v>
      </c>
      <c r="EG53" s="12">
        <f t="shared" si="91"/>
        <v>161</v>
      </c>
      <c r="EH53" s="12">
        <f t="shared" si="92"/>
        <v>161</v>
      </c>
      <c r="EI53" s="12">
        <f t="shared" si="93"/>
        <v>151</v>
      </c>
      <c r="EJ53" s="12">
        <f t="shared" si="94"/>
        <v>141</v>
      </c>
      <c r="EK53" s="12">
        <f t="shared" si="95"/>
        <v>213</v>
      </c>
      <c r="EL53" s="12">
        <f t="shared" si="96"/>
        <v>161</v>
      </c>
      <c r="EM53" s="12">
        <f t="shared" si="97"/>
        <v>151</v>
      </c>
      <c r="EN53" s="12">
        <f t="shared" si="98"/>
        <v>172</v>
      </c>
      <c r="EO53" s="12">
        <f t="shared" si="99"/>
        <v>141</v>
      </c>
      <c r="EP53" s="12">
        <f t="shared" si="100"/>
        <v>131</v>
      </c>
      <c r="EQ53" s="12">
        <f t="shared" si="101"/>
        <v>121</v>
      </c>
      <c r="ER53" s="12">
        <f t="shared" si="102"/>
        <v>162</v>
      </c>
      <c r="ES53" s="12">
        <f t="shared" si="103"/>
        <v>142</v>
      </c>
      <c r="ET53" s="12">
        <f t="shared" si="104"/>
        <v>111</v>
      </c>
      <c r="EU53" s="12">
        <f t="shared" si="105"/>
        <v>132</v>
      </c>
      <c r="EV53" s="12">
        <f t="shared" si="106"/>
        <v>111</v>
      </c>
      <c r="EW53" s="12">
        <f t="shared" si="107"/>
        <v>91</v>
      </c>
      <c r="EX53" s="12">
        <f t="shared" si="108"/>
        <v>81</v>
      </c>
      <c r="EY53" s="12">
        <f t="shared" si="109"/>
        <v>61</v>
      </c>
      <c r="EZ53" s="12">
        <v>53</v>
      </c>
      <c r="FH53" s="12">
        <v>2050000</v>
      </c>
      <c r="FI53" s="12">
        <v>51</v>
      </c>
      <c r="FJ53" s="12">
        <v>2050000</v>
      </c>
    </row>
    <row r="54" spans="1:166" ht="13.35" customHeight="1" x14ac:dyDescent="0.2">
      <c r="A54" s="21">
        <f t="shared" si="110"/>
        <v>53</v>
      </c>
      <c r="B54" s="21">
        <v>0</v>
      </c>
      <c r="C54" s="21">
        <f t="shared" si="111"/>
        <v>53</v>
      </c>
      <c r="E54" s="27" t="s">
        <v>715</v>
      </c>
      <c r="F54" s="28" t="s">
        <v>991</v>
      </c>
      <c r="G54" s="28" t="s">
        <v>986</v>
      </c>
      <c r="H54" s="28" t="s">
        <v>988</v>
      </c>
      <c r="I54" s="28" t="s">
        <v>969</v>
      </c>
      <c r="J54" s="28" t="s">
        <v>985</v>
      </c>
      <c r="K54" s="28" t="s">
        <v>1022</v>
      </c>
      <c r="L54" s="28" t="s">
        <v>1022</v>
      </c>
      <c r="M54" s="28" t="s">
        <v>968</v>
      </c>
      <c r="N54" s="28" t="s">
        <v>968</v>
      </c>
      <c r="O54" s="28" t="s">
        <v>1022</v>
      </c>
      <c r="P54" s="28" t="s">
        <v>1022</v>
      </c>
      <c r="Q54" s="28" t="s">
        <v>1022</v>
      </c>
      <c r="R54" s="28" t="s">
        <v>1022</v>
      </c>
      <c r="S54" s="28" t="s">
        <v>1022</v>
      </c>
      <c r="T54" s="28" t="s">
        <v>983</v>
      </c>
      <c r="U54" s="28" t="s">
        <v>986</v>
      </c>
      <c r="V54" s="28" t="s">
        <v>969</v>
      </c>
      <c r="W54" s="28" t="s">
        <v>969</v>
      </c>
      <c r="X54" s="28" t="s">
        <v>984</v>
      </c>
      <c r="Y54" s="28" t="s">
        <v>984</v>
      </c>
      <c r="Z54" s="28"/>
      <c r="AA54" s="28" t="s">
        <v>1022</v>
      </c>
      <c r="AB54" s="28" t="s">
        <v>1022</v>
      </c>
      <c r="AC54" s="28" t="s">
        <v>969</v>
      </c>
      <c r="AD54" s="28" t="s">
        <v>983</v>
      </c>
      <c r="AE54" s="28"/>
      <c r="AF54" s="28" t="s">
        <v>1022</v>
      </c>
      <c r="AG54" s="28" t="s">
        <v>1022</v>
      </c>
      <c r="AH54" s="28" t="s">
        <v>969</v>
      </c>
      <c r="AI54" s="28"/>
      <c r="AJ54" s="28" t="s">
        <v>986</v>
      </c>
      <c r="AK54" s="28" t="s">
        <v>1022</v>
      </c>
      <c r="AL54" s="28" t="s">
        <v>1022</v>
      </c>
      <c r="AM54" s="28" t="s">
        <v>1022</v>
      </c>
      <c r="AN54" s="28"/>
      <c r="AO54" s="28" t="s">
        <v>1022</v>
      </c>
      <c r="AP54" s="28" t="s">
        <v>1022</v>
      </c>
      <c r="AQ54" s="28" t="s">
        <v>983</v>
      </c>
      <c r="AR54" s="28"/>
      <c r="AS54" s="28" t="s">
        <v>1012</v>
      </c>
      <c r="AT54" s="28" t="s">
        <v>1012</v>
      </c>
      <c r="AU54" s="28" t="s">
        <v>1012</v>
      </c>
      <c r="AV54" s="28" t="s">
        <v>1012</v>
      </c>
      <c r="AW54" s="28" t="s">
        <v>1012</v>
      </c>
      <c r="AX54" s="28" t="s">
        <v>1012</v>
      </c>
      <c r="AY54" s="28" t="s">
        <v>1012</v>
      </c>
      <c r="AZ54" s="28" t="s">
        <v>1012</v>
      </c>
      <c r="BA54" s="28" t="s">
        <v>1012</v>
      </c>
      <c r="BB54" s="28" t="s">
        <v>1012</v>
      </c>
      <c r="BC54" s="28" t="s">
        <v>1012</v>
      </c>
      <c r="BD54" s="28" t="s">
        <v>1012</v>
      </c>
      <c r="BE54" s="28" t="s">
        <v>1012</v>
      </c>
      <c r="BF54" s="28" t="s">
        <v>1012</v>
      </c>
      <c r="BG54" s="28" t="s">
        <v>1012</v>
      </c>
      <c r="BH54" s="28" t="s">
        <v>1012</v>
      </c>
      <c r="BI54" s="28" t="s">
        <v>1012</v>
      </c>
      <c r="BJ54" s="28" t="s">
        <v>1012</v>
      </c>
      <c r="BK54" s="28" t="s">
        <v>1012</v>
      </c>
      <c r="BL54" s="28" t="s">
        <v>1012</v>
      </c>
      <c r="BM54" s="28" t="s">
        <v>1012</v>
      </c>
      <c r="BN54" s="28" t="s">
        <v>1012</v>
      </c>
      <c r="BO54" s="28" t="s">
        <v>1012</v>
      </c>
      <c r="BP54" s="28" t="s">
        <v>1012</v>
      </c>
      <c r="BQ54" s="28" t="s">
        <v>1012</v>
      </c>
      <c r="BR54" s="28" t="s">
        <v>1012</v>
      </c>
      <c r="BS54" s="28" t="s">
        <v>1012</v>
      </c>
      <c r="BT54" s="28" t="s">
        <v>1012</v>
      </c>
      <c r="BU54" s="28" t="s">
        <v>1012</v>
      </c>
      <c r="BV54" s="28" t="s">
        <v>1012</v>
      </c>
      <c r="BW54" s="28" t="s">
        <v>1012</v>
      </c>
      <c r="BX54" s="28" t="s">
        <v>1012</v>
      </c>
      <c r="BY54" s="28" t="s">
        <v>1012</v>
      </c>
      <c r="BZ54" s="28" t="s">
        <v>1012</v>
      </c>
      <c r="CA54" s="28" t="s">
        <v>1012</v>
      </c>
      <c r="CB54" s="28" t="s">
        <v>1012</v>
      </c>
      <c r="CC54" s="28" t="s">
        <v>1012</v>
      </c>
      <c r="CD54" s="28" t="s">
        <v>1012</v>
      </c>
      <c r="CE54" s="28" t="s">
        <v>1012</v>
      </c>
      <c r="CF54" s="28" t="s">
        <v>1012</v>
      </c>
      <c r="CG54" s="28" t="s">
        <v>1012</v>
      </c>
      <c r="CH54" s="28" t="s">
        <v>1012</v>
      </c>
      <c r="CI54" s="28" t="s">
        <v>1012</v>
      </c>
      <c r="CJ54" s="28" t="s">
        <v>1012</v>
      </c>
      <c r="CK54" s="28" t="s">
        <v>1012</v>
      </c>
      <c r="CL54" s="28" t="s">
        <v>1012</v>
      </c>
      <c r="CM54" s="28" t="s">
        <v>1012</v>
      </c>
      <c r="CN54" s="28" t="s">
        <v>1012</v>
      </c>
      <c r="CO54" s="28" t="s">
        <v>1012</v>
      </c>
      <c r="CP54" s="28" t="s">
        <v>1012</v>
      </c>
      <c r="CQ54" s="28" t="s">
        <v>1012</v>
      </c>
      <c r="CR54" s="28"/>
      <c r="CS54" s="28" t="s">
        <v>986</v>
      </c>
      <c r="CT54" s="28" t="s">
        <v>986</v>
      </c>
      <c r="CU54" s="28" t="s">
        <v>983</v>
      </c>
      <c r="CV54" s="28" t="s">
        <v>987</v>
      </c>
      <c r="CW54" s="28"/>
      <c r="CX54" s="28" t="s">
        <v>986</v>
      </c>
      <c r="CY54" s="28" t="s">
        <v>968</v>
      </c>
      <c r="CZ54" s="28" t="s">
        <v>968</v>
      </c>
      <c r="DA54" s="28" t="s">
        <v>986</v>
      </c>
      <c r="DB54" s="28" t="s">
        <v>1022</v>
      </c>
      <c r="DC54" s="28" t="s">
        <v>968</v>
      </c>
      <c r="DD54" s="28" t="s">
        <v>1022</v>
      </c>
      <c r="DE54" s="28"/>
      <c r="DF54" s="12">
        <v>53</v>
      </c>
      <c r="DJ54" s="12">
        <v>0</v>
      </c>
      <c r="DK54" s="12">
        <v>0</v>
      </c>
      <c r="DM54" s="12">
        <f>VLOOKUP(Stats!$D$41,$DH$32:$DN$51,7)</f>
        <v>0</v>
      </c>
      <c r="DQ54" s="35">
        <v>51</v>
      </c>
      <c r="DR54" s="32">
        <v>46</v>
      </c>
      <c r="DS54" s="73">
        <v>71</v>
      </c>
      <c r="DT54" s="71">
        <v>25</v>
      </c>
      <c r="DU54" s="21">
        <v>116</v>
      </c>
      <c r="DV54" s="31">
        <f t="shared" si="112"/>
        <v>151</v>
      </c>
      <c r="DW54" s="30">
        <f t="shared" si="113"/>
        <v>213</v>
      </c>
      <c r="DX54" s="36">
        <v>25</v>
      </c>
      <c r="DY54" s="23">
        <v>115.5</v>
      </c>
      <c r="DZ54" s="12">
        <v>52</v>
      </c>
      <c r="EA54" s="12">
        <f t="shared" si="85"/>
        <v>286</v>
      </c>
      <c r="EB54" s="12">
        <f t="shared" si="86"/>
        <v>278</v>
      </c>
      <c r="EC54" s="12">
        <f t="shared" si="87"/>
        <v>268</v>
      </c>
      <c r="ED54" s="12">
        <f t="shared" si="88"/>
        <v>226</v>
      </c>
      <c r="EE54" s="12">
        <f t="shared" si="89"/>
        <v>194</v>
      </c>
      <c r="EF54" s="12">
        <f t="shared" si="90"/>
        <v>172</v>
      </c>
      <c r="EG54" s="12">
        <f t="shared" si="91"/>
        <v>162</v>
      </c>
      <c r="EH54" s="12">
        <f t="shared" si="92"/>
        <v>162</v>
      </c>
      <c r="EI54" s="12">
        <f t="shared" si="93"/>
        <v>152</v>
      </c>
      <c r="EJ54" s="12">
        <f t="shared" si="94"/>
        <v>142</v>
      </c>
      <c r="EK54" s="12">
        <f t="shared" si="95"/>
        <v>216</v>
      </c>
      <c r="EL54" s="12">
        <f t="shared" si="96"/>
        <v>162</v>
      </c>
      <c r="EM54" s="12">
        <f t="shared" si="97"/>
        <v>152</v>
      </c>
      <c r="EN54" s="12">
        <f t="shared" si="98"/>
        <v>174</v>
      </c>
      <c r="EO54" s="12">
        <f t="shared" si="99"/>
        <v>142</v>
      </c>
      <c r="EP54" s="12">
        <f t="shared" si="100"/>
        <v>132</v>
      </c>
      <c r="EQ54" s="12">
        <f t="shared" si="101"/>
        <v>122</v>
      </c>
      <c r="ER54" s="12">
        <f t="shared" si="102"/>
        <v>164</v>
      </c>
      <c r="ES54" s="12">
        <f t="shared" si="103"/>
        <v>144</v>
      </c>
      <c r="ET54" s="12">
        <f t="shared" si="104"/>
        <v>112</v>
      </c>
      <c r="EU54" s="12">
        <f t="shared" si="105"/>
        <v>134</v>
      </c>
      <c r="EV54" s="12">
        <f t="shared" si="106"/>
        <v>112</v>
      </c>
      <c r="EW54" s="12">
        <f t="shared" si="107"/>
        <v>92</v>
      </c>
      <c r="EX54" s="12">
        <f t="shared" si="108"/>
        <v>82</v>
      </c>
      <c r="EY54" s="12">
        <f t="shared" si="109"/>
        <v>62</v>
      </c>
      <c r="EZ54" s="12">
        <v>54</v>
      </c>
      <c r="FH54" s="12">
        <v>2100000</v>
      </c>
      <c r="FI54" s="12">
        <v>52</v>
      </c>
      <c r="FJ54" s="12">
        <v>2100000</v>
      </c>
    </row>
    <row r="55" spans="1:166" ht="13.35" customHeight="1" x14ac:dyDescent="0.2">
      <c r="A55" s="21">
        <f t="shared" si="110"/>
        <v>54</v>
      </c>
      <c r="B55" s="21">
        <v>0</v>
      </c>
      <c r="C55" s="21">
        <f t="shared" si="111"/>
        <v>54</v>
      </c>
      <c r="E55" s="27" t="s">
        <v>720</v>
      </c>
      <c r="F55" s="28" t="s">
        <v>991</v>
      </c>
      <c r="G55" s="28" t="s">
        <v>986</v>
      </c>
      <c r="H55" s="28" t="s">
        <v>988</v>
      </c>
      <c r="I55" s="28" t="s">
        <v>969</v>
      </c>
      <c r="J55" s="28" t="s">
        <v>983</v>
      </c>
      <c r="K55" s="28" t="s">
        <v>1022</v>
      </c>
      <c r="L55" s="28" t="s">
        <v>1022</v>
      </c>
      <c r="M55" s="28" t="s">
        <v>968</v>
      </c>
      <c r="N55" s="28" t="s">
        <v>968</v>
      </c>
      <c r="O55" s="28" t="s">
        <v>1022</v>
      </c>
      <c r="P55" s="28" t="s">
        <v>1022</v>
      </c>
      <c r="Q55" s="28" t="s">
        <v>1022</v>
      </c>
      <c r="R55" s="28" t="s">
        <v>1022</v>
      </c>
      <c r="S55" s="28" t="s">
        <v>1022</v>
      </c>
      <c r="T55" s="28" t="s">
        <v>983</v>
      </c>
      <c r="U55" s="28" t="s">
        <v>986</v>
      </c>
      <c r="V55" s="28" t="s">
        <v>1011</v>
      </c>
      <c r="W55" s="28" t="s">
        <v>911</v>
      </c>
      <c r="X55" s="28" t="s">
        <v>984</v>
      </c>
      <c r="Y55" s="28" t="s">
        <v>969</v>
      </c>
      <c r="Z55" s="28"/>
      <c r="AA55" s="28" t="s">
        <v>1022</v>
      </c>
      <c r="AB55" s="28" t="s">
        <v>1022</v>
      </c>
      <c r="AC55" s="28" t="s">
        <v>911</v>
      </c>
      <c r="AD55" s="28" t="s">
        <v>984</v>
      </c>
      <c r="AE55" s="28"/>
      <c r="AF55" s="28" t="s">
        <v>1022</v>
      </c>
      <c r="AG55" s="28" t="s">
        <v>1022</v>
      </c>
      <c r="AH55" s="28" t="s">
        <v>911</v>
      </c>
      <c r="AI55" s="28"/>
      <c r="AJ55" s="28" t="s">
        <v>986</v>
      </c>
      <c r="AK55" s="28" t="s">
        <v>1022</v>
      </c>
      <c r="AL55" s="28" t="s">
        <v>1022</v>
      </c>
      <c r="AM55" s="28" t="s">
        <v>1022</v>
      </c>
      <c r="AN55" s="28"/>
      <c r="AO55" s="28" t="s">
        <v>1022</v>
      </c>
      <c r="AP55" s="28" t="s">
        <v>1022</v>
      </c>
      <c r="AQ55" s="28" t="s">
        <v>983</v>
      </c>
      <c r="AR55" s="28"/>
      <c r="AS55" s="28" t="s">
        <v>1012</v>
      </c>
      <c r="AT55" s="28" t="s">
        <v>1012</v>
      </c>
      <c r="AU55" s="28" t="s">
        <v>1012</v>
      </c>
      <c r="AV55" s="28" t="s">
        <v>1012</v>
      </c>
      <c r="AW55" s="28" t="s">
        <v>1012</v>
      </c>
      <c r="AX55" s="28" t="s">
        <v>1012</v>
      </c>
      <c r="AY55" s="28" t="s">
        <v>1012</v>
      </c>
      <c r="AZ55" s="28" t="s">
        <v>1012</v>
      </c>
      <c r="BA55" s="28" t="s">
        <v>1012</v>
      </c>
      <c r="BB55" s="28" t="s">
        <v>1012</v>
      </c>
      <c r="BC55" s="28" t="s">
        <v>1012</v>
      </c>
      <c r="BD55" s="28" t="s">
        <v>1012</v>
      </c>
      <c r="BE55" s="28" t="s">
        <v>1012</v>
      </c>
      <c r="BF55" s="28" t="s">
        <v>1012</v>
      </c>
      <c r="BG55" s="28" t="s">
        <v>1012</v>
      </c>
      <c r="BH55" s="28" t="s">
        <v>1012</v>
      </c>
      <c r="BI55" s="28" t="s">
        <v>1012</v>
      </c>
      <c r="BJ55" s="28" t="s">
        <v>1012</v>
      </c>
      <c r="BK55" s="28" t="s">
        <v>1012</v>
      </c>
      <c r="BL55" s="28" t="s">
        <v>1012</v>
      </c>
      <c r="BM55" s="28" t="s">
        <v>1012</v>
      </c>
      <c r="BN55" s="28" t="s">
        <v>1012</v>
      </c>
      <c r="BO55" s="28" t="s">
        <v>1012</v>
      </c>
      <c r="BP55" s="28" t="s">
        <v>1012</v>
      </c>
      <c r="BQ55" s="28" t="s">
        <v>1012</v>
      </c>
      <c r="BR55" s="28" t="s">
        <v>1012</v>
      </c>
      <c r="BS55" s="28" t="s">
        <v>1012</v>
      </c>
      <c r="BT55" s="28" t="s">
        <v>1012</v>
      </c>
      <c r="BU55" s="28" t="s">
        <v>1012</v>
      </c>
      <c r="BV55" s="28" t="s">
        <v>1012</v>
      </c>
      <c r="BW55" s="28" t="s">
        <v>1012</v>
      </c>
      <c r="BX55" s="28" t="s">
        <v>1012</v>
      </c>
      <c r="BY55" s="28" t="s">
        <v>1012</v>
      </c>
      <c r="BZ55" s="28" t="s">
        <v>1012</v>
      </c>
      <c r="CA55" s="28" t="s">
        <v>1012</v>
      </c>
      <c r="CB55" s="28" t="s">
        <v>1012</v>
      </c>
      <c r="CC55" s="28" t="s">
        <v>1012</v>
      </c>
      <c r="CD55" s="28" t="s">
        <v>1012</v>
      </c>
      <c r="CE55" s="28" t="s">
        <v>1012</v>
      </c>
      <c r="CF55" s="28" t="s">
        <v>1012</v>
      </c>
      <c r="CG55" s="28" t="s">
        <v>1012</v>
      </c>
      <c r="CH55" s="28" t="s">
        <v>1012</v>
      </c>
      <c r="CI55" s="28" t="s">
        <v>1012</v>
      </c>
      <c r="CJ55" s="28" t="s">
        <v>1012</v>
      </c>
      <c r="CK55" s="28" t="s">
        <v>1012</v>
      </c>
      <c r="CL55" s="28" t="s">
        <v>1012</v>
      </c>
      <c r="CM55" s="28" t="s">
        <v>1012</v>
      </c>
      <c r="CN55" s="28" t="s">
        <v>1012</v>
      </c>
      <c r="CO55" s="28" t="s">
        <v>1012</v>
      </c>
      <c r="CP55" s="28" t="s">
        <v>1012</v>
      </c>
      <c r="CQ55" s="28" t="s">
        <v>1012</v>
      </c>
      <c r="CR55" s="28"/>
      <c r="CS55" s="28" t="s">
        <v>986</v>
      </c>
      <c r="CT55" s="28" t="s">
        <v>986</v>
      </c>
      <c r="CU55" s="28" t="s">
        <v>969</v>
      </c>
      <c r="CV55" s="28" t="s">
        <v>1031</v>
      </c>
      <c r="CW55" s="28"/>
      <c r="CX55" s="28" t="s">
        <v>986</v>
      </c>
      <c r="CY55" s="28" t="s">
        <v>968</v>
      </c>
      <c r="CZ55" s="28" t="s">
        <v>1022</v>
      </c>
      <c r="DA55" s="28" t="s">
        <v>986</v>
      </c>
      <c r="DB55" s="28" t="s">
        <v>1022</v>
      </c>
      <c r="DC55" s="28" t="s">
        <v>968</v>
      </c>
      <c r="DD55" s="28" t="s">
        <v>1022</v>
      </c>
      <c r="DE55" s="28"/>
      <c r="DF55" s="12">
        <v>54</v>
      </c>
      <c r="DJ55" s="12">
        <v>1</v>
      </c>
      <c r="DK55" s="12">
        <f>Skills!$K$6</f>
        <v>-2.0099999999999998</v>
      </c>
      <c r="DQ55" s="35">
        <v>52</v>
      </c>
      <c r="DR55" s="32">
        <v>46</v>
      </c>
      <c r="DS55" s="73">
        <v>71</v>
      </c>
      <c r="DT55" s="71">
        <v>25</v>
      </c>
      <c r="DU55" s="21">
        <v>117</v>
      </c>
      <c r="DV55" s="31">
        <f t="shared" si="112"/>
        <v>152</v>
      </c>
      <c r="DW55" s="30">
        <f t="shared" si="113"/>
        <v>216</v>
      </c>
      <c r="DX55" s="36">
        <v>25</v>
      </c>
      <c r="DY55" s="23">
        <v>116</v>
      </c>
      <c r="DZ55" s="12">
        <v>53</v>
      </c>
      <c r="EA55" s="12">
        <f t="shared" si="85"/>
        <v>289</v>
      </c>
      <c r="EB55" s="12">
        <f t="shared" si="86"/>
        <v>282</v>
      </c>
      <c r="EC55" s="12">
        <f t="shared" si="87"/>
        <v>272</v>
      </c>
      <c r="ED55" s="12">
        <f t="shared" si="88"/>
        <v>229</v>
      </c>
      <c r="EE55" s="12">
        <f t="shared" si="89"/>
        <v>196</v>
      </c>
      <c r="EF55" s="12">
        <f t="shared" si="90"/>
        <v>173</v>
      </c>
      <c r="EG55" s="12">
        <f t="shared" si="91"/>
        <v>163</v>
      </c>
      <c r="EH55" s="12">
        <f t="shared" si="92"/>
        <v>163</v>
      </c>
      <c r="EI55" s="12">
        <f t="shared" si="93"/>
        <v>153</v>
      </c>
      <c r="EJ55" s="12">
        <f t="shared" si="94"/>
        <v>143</v>
      </c>
      <c r="EK55" s="12">
        <f t="shared" si="95"/>
        <v>219</v>
      </c>
      <c r="EL55" s="12">
        <f t="shared" si="96"/>
        <v>163</v>
      </c>
      <c r="EM55" s="12">
        <f t="shared" si="97"/>
        <v>153</v>
      </c>
      <c r="EN55" s="12">
        <f t="shared" si="98"/>
        <v>176</v>
      </c>
      <c r="EO55" s="12">
        <f t="shared" si="99"/>
        <v>143</v>
      </c>
      <c r="EP55" s="12">
        <f t="shared" si="100"/>
        <v>133</v>
      </c>
      <c r="EQ55" s="12">
        <f t="shared" si="101"/>
        <v>123</v>
      </c>
      <c r="ER55" s="12">
        <f t="shared" si="102"/>
        <v>166</v>
      </c>
      <c r="ES55" s="12">
        <f t="shared" si="103"/>
        <v>146</v>
      </c>
      <c r="ET55" s="12">
        <f t="shared" si="104"/>
        <v>113</v>
      </c>
      <c r="EU55" s="12">
        <f t="shared" si="105"/>
        <v>136</v>
      </c>
      <c r="EV55" s="12">
        <f t="shared" si="106"/>
        <v>113</v>
      </c>
      <c r="EW55" s="12">
        <f t="shared" si="107"/>
        <v>93</v>
      </c>
      <c r="EX55" s="12">
        <f t="shared" si="108"/>
        <v>83</v>
      </c>
      <c r="EY55" s="12">
        <f t="shared" si="109"/>
        <v>63</v>
      </c>
      <c r="EZ55" s="12">
        <v>55</v>
      </c>
      <c r="FH55" s="12">
        <v>2150000</v>
      </c>
      <c r="FI55" s="12">
        <v>53</v>
      </c>
      <c r="FJ55" s="12">
        <v>2150000</v>
      </c>
    </row>
    <row r="56" spans="1:166" ht="13.35" customHeight="1" x14ac:dyDescent="0.2">
      <c r="A56" s="21">
        <f t="shared" si="110"/>
        <v>55</v>
      </c>
      <c r="B56" s="21">
        <v>0</v>
      </c>
      <c r="C56" s="21">
        <f t="shared" si="111"/>
        <v>55</v>
      </c>
      <c r="E56" s="27" t="s">
        <v>723</v>
      </c>
      <c r="F56" s="28" t="s">
        <v>985</v>
      </c>
      <c r="G56" s="28" t="s">
        <v>983</v>
      </c>
      <c r="H56" s="28" t="s">
        <v>983</v>
      </c>
      <c r="I56" s="28" t="s">
        <v>1011</v>
      </c>
      <c r="J56" s="28" t="s">
        <v>984</v>
      </c>
      <c r="K56" s="28" t="s">
        <v>1022</v>
      </c>
      <c r="L56" s="28" t="s">
        <v>1022</v>
      </c>
      <c r="M56" s="28" t="s">
        <v>1022</v>
      </c>
      <c r="N56" s="28" t="s">
        <v>1022</v>
      </c>
      <c r="O56" s="28" t="s">
        <v>1022</v>
      </c>
      <c r="P56" s="28" t="s">
        <v>1022</v>
      </c>
      <c r="Q56" s="28" t="s">
        <v>1022</v>
      </c>
      <c r="R56" s="28" t="s">
        <v>1022</v>
      </c>
      <c r="S56" s="28" t="s">
        <v>1022</v>
      </c>
      <c r="T56" s="28" t="s">
        <v>968</v>
      </c>
      <c r="U56" s="28" t="s">
        <v>983</v>
      </c>
      <c r="V56" s="28" t="s">
        <v>1011</v>
      </c>
      <c r="W56" s="28" t="s">
        <v>1011</v>
      </c>
      <c r="X56" s="28" t="s">
        <v>1011</v>
      </c>
      <c r="Y56" s="28" t="s">
        <v>968</v>
      </c>
      <c r="Z56" s="28"/>
      <c r="AA56" s="28" t="s">
        <v>1022</v>
      </c>
      <c r="AB56" s="28" t="s">
        <v>1022</v>
      </c>
      <c r="AC56" s="28" t="s">
        <v>1012</v>
      </c>
      <c r="AD56" s="28" t="s">
        <v>969</v>
      </c>
      <c r="AE56" s="28"/>
      <c r="AF56" s="28" t="s">
        <v>1022</v>
      </c>
      <c r="AG56" s="28" t="s">
        <v>1022</v>
      </c>
      <c r="AH56" s="28" t="s">
        <v>1011</v>
      </c>
      <c r="AI56" s="28"/>
      <c r="AJ56" s="28" t="s">
        <v>986</v>
      </c>
      <c r="AK56" s="28" t="s">
        <v>1022</v>
      </c>
      <c r="AL56" s="28" t="s">
        <v>1022</v>
      </c>
      <c r="AM56" s="28" t="s">
        <v>1022</v>
      </c>
      <c r="AN56" s="28"/>
      <c r="AO56" s="28" t="s">
        <v>1022</v>
      </c>
      <c r="AP56" s="28" t="s">
        <v>1022</v>
      </c>
      <c r="AQ56" s="28" t="s">
        <v>968</v>
      </c>
      <c r="AR56" s="28"/>
      <c r="AS56" s="28" t="s">
        <v>1022</v>
      </c>
      <c r="AT56" s="28" t="s">
        <v>1022</v>
      </c>
      <c r="AU56" s="28" t="s">
        <v>1022</v>
      </c>
      <c r="AV56" s="28" t="s">
        <v>1022</v>
      </c>
      <c r="AW56" s="28" t="s">
        <v>1022</v>
      </c>
      <c r="AX56" s="28" t="s">
        <v>1022</v>
      </c>
      <c r="AY56" s="28" t="s">
        <v>1022</v>
      </c>
      <c r="AZ56" s="28" t="s">
        <v>1022</v>
      </c>
      <c r="BA56" s="28" t="s">
        <v>1022</v>
      </c>
      <c r="BB56" s="28" t="s">
        <v>1022</v>
      </c>
      <c r="BC56" s="28" t="s">
        <v>1022</v>
      </c>
      <c r="BD56" s="28" t="s">
        <v>1022</v>
      </c>
      <c r="BE56" s="28" t="s">
        <v>1022</v>
      </c>
      <c r="BF56" s="28" t="s">
        <v>1022</v>
      </c>
      <c r="BG56" s="28" t="s">
        <v>1022</v>
      </c>
      <c r="BH56" s="28" t="s">
        <v>1022</v>
      </c>
      <c r="BI56" s="28" t="s">
        <v>1022</v>
      </c>
      <c r="BJ56" s="28" t="s">
        <v>1022</v>
      </c>
      <c r="BK56" s="28" t="s">
        <v>1022</v>
      </c>
      <c r="BL56" s="28" t="s">
        <v>1022</v>
      </c>
      <c r="BM56" s="28" t="s">
        <v>1022</v>
      </c>
      <c r="BN56" s="28" t="s">
        <v>1022</v>
      </c>
      <c r="BO56" s="28" t="s">
        <v>1022</v>
      </c>
      <c r="BP56" s="28" t="s">
        <v>1022</v>
      </c>
      <c r="BQ56" s="28" t="s">
        <v>1022</v>
      </c>
      <c r="BR56" s="28" t="s">
        <v>1022</v>
      </c>
      <c r="BS56" s="28" t="s">
        <v>1022</v>
      </c>
      <c r="BT56" s="28" t="s">
        <v>1022</v>
      </c>
      <c r="BU56" s="28" t="s">
        <v>1022</v>
      </c>
      <c r="BV56" s="28" t="s">
        <v>1022</v>
      </c>
      <c r="BW56" s="28" t="s">
        <v>1022</v>
      </c>
      <c r="BX56" s="28" t="s">
        <v>1022</v>
      </c>
      <c r="BY56" s="28" t="s">
        <v>1022</v>
      </c>
      <c r="BZ56" s="28" t="s">
        <v>1022</v>
      </c>
      <c r="CA56" s="28" t="s">
        <v>1022</v>
      </c>
      <c r="CB56" s="28" t="s">
        <v>1022</v>
      </c>
      <c r="CC56" s="28" t="s">
        <v>1022</v>
      </c>
      <c r="CD56" s="28" t="s">
        <v>1022</v>
      </c>
      <c r="CE56" s="28" t="s">
        <v>1022</v>
      </c>
      <c r="CF56" s="28" t="s">
        <v>1022</v>
      </c>
      <c r="CG56" s="28" t="s">
        <v>1022</v>
      </c>
      <c r="CH56" s="28" t="s">
        <v>1022</v>
      </c>
      <c r="CI56" s="28" t="s">
        <v>1022</v>
      </c>
      <c r="CJ56" s="28" t="s">
        <v>1022</v>
      </c>
      <c r="CK56" s="28" t="s">
        <v>1022</v>
      </c>
      <c r="CL56" s="28" t="s">
        <v>1022</v>
      </c>
      <c r="CM56" s="28" t="s">
        <v>1022</v>
      </c>
      <c r="CN56" s="28" t="s">
        <v>1022</v>
      </c>
      <c r="CO56" s="28" t="s">
        <v>1022</v>
      </c>
      <c r="CP56" s="28" t="s">
        <v>1022</v>
      </c>
      <c r="CQ56" s="28" t="s">
        <v>1022</v>
      </c>
      <c r="CR56" s="28"/>
      <c r="CS56" s="28" t="s">
        <v>983</v>
      </c>
      <c r="CT56" s="28" t="s">
        <v>983</v>
      </c>
      <c r="CU56" s="28" t="s">
        <v>1011</v>
      </c>
      <c r="CV56" s="28" t="s">
        <v>1031</v>
      </c>
      <c r="CW56" s="28"/>
      <c r="CX56" s="28" t="s">
        <v>983</v>
      </c>
      <c r="CY56" s="28" t="s">
        <v>1022</v>
      </c>
      <c r="CZ56" s="28" t="s">
        <v>1022</v>
      </c>
      <c r="DA56" s="28" t="s">
        <v>983</v>
      </c>
      <c r="DB56" s="28" t="s">
        <v>1022</v>
      </c>
      <c r="DC56" s="28" t="s">
        <v>1022</v>
      </c>
      <c r="DD56" s="28" t="s">
        <v>1022</v>
      </c>
      <c r="DE56" s="28"/>
      <c r="DF56" s="12">
        <v>55</v>
      </c>
      <c r="DJ56" s="12">
        <v>2</v>
      </c>
      <c r="DK56" s="12">
        <f>Skills!$K$7</f>
        <v>-2.0099999999999998</v>
      </c>
      <c r="DM56" s="12" t="s">
        <v>1309</v>
      </c>
      <c r="DQ56" s="35">
        <v>53</v>
      </c>
      <c r="DR56" s="32">
        <v>47</v>
      </c>
      <c r="DS56" s="73">
        <v>72</v>
      </c>
      <c r="DT56" s="71">
        <v>25</v>
      </c>
      <c r="DU56" s="21">
        <v>118</v>
      </c>
      <c r="DV56" s="31">
        <f t="shared" si="112"/>
        <v>153</v>
      </c>
      <c r="DW56" s="30">
        <f t="shared" si="113"/>
        <v>219</v>
      </c>
      <c r="DX56" s="36">
        <v>25</v>
      </c>
      <c r="DY56" s="23">
        <v>116.5</v>
      </c>
      <c r="DZ56" s="12">
        <v>54</v>
      </c>
      <c r="EA56" s="12">
        <f t="shared" si="85"/>
        <v>292</v>
      </c>
      <c r="EB56" s="12">
        <f t="shared" si="86"/>
        <v>286</v>
      </c>
      <c r="EC56" s="12">
        <f t="shared" si="87"/>
        <v>276</v>
      </c>
      <c r="ED56" s="12">
        <f t="shared" si="88"/>
        <v>232</v>
      </c>
      <c r="EE56" s="12">
        <f t="shared" si="89"/>
        <v>198</v>
      </c>
      <c r="EF56" s="12">
        <f t="shared" si="90"/>
        <v>174</v>
      </c>
      <c r="EG56" s="12">
        <f t="shared" si="91"/>
        <v>164</v>
      </c>
      <c r="EH56" s="12">
        <f t="shared" si="92"/>
        <v>164</v>
      </c>
      <c r="EI56" s="12">
        <f t="shared" si="93"/>
        <v>154</v>
      </c>
      <c r="EJ56" s="12">
        <f t="shared" si="94"/>
        <v>144</v>
      </c>
      <c r="EK56" s="12">
        <f t="shared" si="95"/>
        <v>222</v>
      </c>
      <c r="EL56" s="12">
        <f t="shared" si="96"/>
        <v>164</v>
      </c>
      <c r="EM56" s="12">
        <f t="shared" si="97"/>
        <v>154</v>
      </c>
      <c r="EN56" s="12">
        <f t="shared" si="98"/>
        <v>178</v>
      </c>
      <c r="EO56" s="12">
        <f t="shared" si="99"/>
        <v>144</v>
      </c>
      <c r="EP56" s="12">
        <f t="shared" si="100"/>
        <v>134</v>
      </c>
      <c r="EQ56" s="12">
        <f t="shared" si="101"/>
        <v>124</v>
      </c>
      <c r="ER56" s="12">
        <f t="shared" si="102"/>
        <v>168</v>
      </c>
      <c r="ES56" s="12">
        <f t="shared" si="103"/>
        <v>148</v>
      </c>
      <c r="ET56" s="12">
        <f t="shared" si="104"/>
        <v>114</v>
      </c>
      <c r="EU56" s="12">
        <f t="shared" si="105"/>
        <v>138</v>
      </c>
      <c r="EV56" s="12">
        <f t="shared" si="106"/>
        <v>114</v>
      </c>
      <c r="EW56" s="12">
        <f t="shared" si="107"/>
        <v>94</v>
      </c>
      <c r="EX56" s="12">
        <f t="shared" si="108"/>
        <v>84</v>
      </c>
      <c r="EY56" s="12">
        <f t="shared" si="109"/>
        <v>64</v>
      </c>
      <c r="EZ56" s="12">
        <v>56</v>
      </c>
      <c r="FH56" s="12">
        <v>2200000</v>
      </c>
      <c r="FI56" s="12">
        <v>54</v>
      </c>
      <c r="FJ56" s="12">
        <v>2200000</v>
      </c>
    </row>
    <row r="57" spans="1:166" ht="13.35" customHeight="1" x14ac:dyDescent="0.2">
      <c r="A57" s="21">
        <f t="shared" si="110"/>
        <v>56</v>
      </c>
      <c r="B57" s="21">
        <v>0</v>
      </c>
      <c r="C57" s="21">
        <f t="shared" si="111"/>
        <v>56</v>
      </c>
      <c r="E57" s="27" t="s">
        <v>725</v>
      </c>
      <c r="F57" s="28" t="s">
        <v>985</v>
      </c>
      <c r="G57" s="28" t="s">
        <v>983</v>
      </c>
      <c r="H57" s="28" t="s">
        <v>983</v>
      </c>
      <c r="I57" s="28" t="s">
        <v>1011</v>
      </c>
      <c r="J57" s="28" t="s">
        <v>984</v>
      </c>
      <c r="K57" s="28" t="s">
        <v>1022</v>
      </c>
      <c r="L57" s="28" t="s">
        <v>1022</v>
      </c>
      <c r="M57" s="28" t="s">
        <v>1022</v>
      </c>
      <c r="N57" s="28" t="s">
        <v>1022</v>
      </c>
      <c r="O57" s="28" t="s">
        <v>1022</v>
      </c>
      <c r="P57" s="28" t="s">
        <v>1022</v>
      </c>
      <c r="Q57" s="28" t="s">
        <v>1022</v>
      </c>
      <c r="R57" s="28" t="s">
        <v>1022</v>
      </c>
      <c r="S57" s="28" t="s">
        <v>1022</v>
      </c>
      <c r="T57" s="28" t="s">
        <v>968</v>
      </c>
      <c r="U57" s="28" t="s">
        <v>983</v>
      </c>
      <c r="V57" s="28" t="s">
        <v>1011</v>
      </c>
      <c r="W57" s="28" t="s">
        <v>1011</v>
      </c>
      <c r="X57" s="28" t="s">
        <v>1011</v>
      </c>
      <c r="Y57" s="28" t="s">
        <v>911</v>
      </c>
      <c r="Z57" s="28"/>
      <c r="AA57" s="28" t="s">
        <v>1022</v>
      </c>
      <c r="AB57" s="28" t="s">
        <v>1022</v>
      </c>
      <c r="AC57" s="28" t="s">
        <v>1011</v>
      </c>
      <c r="AD57" s="28" t="s">
        <v>968</v>
      </c>
      <c r="AE57" s="28"/>
      <c r="AF57" s="28" t="s">
        <v>1022</v>
      </c>
      <c r="AG57" s="28" t="s">
        <v>1022</v>
      </c>
      <c r="AH57" s="28" t="s">
        <v>1011</v>
      </c>
      <c r="AI57" s="28"/>
      <c r="AJ57" s="28" t="s">
        <v>983</v>
      </c>
      <c r="AK57" s="28" t="s">
        <v>1022</v>
      </c>
      <c r="AL57" s="28" t="s">
        <v>1022</v>
      </c>
      <c r="AM57" s="28" t="s">
        <v>1022</v>
      </c>
      <c r="AN57" s="28"/>
      <c r="AO57" s="28" t="s">
        <v>1022</v>
      </c>
      <c r="AP57" s="28" t="s">
        <v>1022</v>
      </c>
      <c r="AQ57" s="28" t="s">
        <v>968</v>
      </c>
      <c r="AR57" s="28"/>
      <c r="AS57" s="28" t="s">
        <v>1022</v>
      </c>
      <c r="AT57" s="28" t="s">
        <v>1022</v>
      </c>
      <c r="AU57" s="28" t="s">
        <v>1022</v>
      </c>
      <c r="AV57" s="28" t="s">
        <v>1022</v>
      </c>
      <c r="AW57" s="28" t="s">
        <v>1022</v>
      </c>
      <c r="AX57" s="28" t="s">
        <v>1022</v>
      </c>
      <c r="AY57" s="28" t="s">
        <v>1022</v>
      </c>
      <c r="AZ57" s="28" t="s">
        <v>1022</v>
      </c>
      <c r="BA57" s="28" t="s">
        <v>1022</v>
      </c>
      <c r="BB57" s="28" t="s">
        <v>1022</v>
      </c>
      <c r="BC57" s="28" t="s">
        <v>1022</v>
      </c>
      <c r="BD57" s="28" t="s">
        <v>1022</v>
      </c>
      <c r="BE57" s="28" t="s">
        <v>1022</v>
      </c>
      <c r="BF57" s="28" t="s">
        <v>1022</v>
      </c>
      <c r="BG57" s="28" t="s">
        <v>1022</v>
      </c>
      <c r="BH57" s="28" t="s">
        <v>1022</v>
      </c>
      <c r="BI57" s="28" t="s">
        <v>1022</v>
      </c>
      <c r="BJ57" s="28" t="s">
        <v>1022</v>
      </c>
      <c r="BK57" s="28" t="s">
        <v>1022</v>
      </c>
      <c r="BL57" s="28" t="s">
        <v>1022</v>
      </c>
      <c r="BM57" s="28" t="s">
        <v>1022</v>
      </c>
      <c r="BN57" s="28" t="s">
        <v>1022</v>
      </c>
      <c r="BO57" s="28" t="s">
        <v>1022</v>
      </c>
      <c r="BP57" s="28" t="s">
        <v>1022</v>
      </c>
      <c r="BQ57" s="28" t="s">
        <v>1022</v>
      </c>
      <c r="BR57" s="28" t="s">
        <v>1022</v>
      </c>
      <c r="BS57" s="28" t="s">
        <v>1022</v>
      </c>
      <c r="BT57" s="28" t="s">
        <v>1022</v>
      </c>
      <c r="BU57" s="28" t="s">
        <v>1022</v>
      </c>
      <c r="BV57" s="28" t="s">
        <v>1022</v>
      </c>
      <c r="BW57" s="28" t="s">
        <v>1022</v>
      </c>
      <c r="BX57" s="28" t="s">
        <v>1022</v>
      </c>
      <c r="BY57" s="28" t="s">
        <v>1022</v>
      </c>
      <c r="BZ57" s="28" t="s">
        <v>1022</v>
      </c>
      <c r="CA57" s="28" t="s">
        <v>1022</v>
      </c>
      <c r="CB57" s="28" t="s">
        <v>1022</v>
      </c>
      <c r="CC57" s="28" t="s">
        <v>1022</v>
      </c>
      <c r="CD57" s="28" t="s">
        <v>1022</v>
      </c>
      <c r="CE57" s="28" t="s">
        <v>1022</v>
      </c>
      <c r="CF57" s="28" t="s">
        <v>1022</v>
      </c>
      <c r="CG57" s="28" t="s">
        <v>1022</v>
      </c>
      <c r="CH57" s="28" t="s">
        <v>1022</v>
      </c>
      <c r="CI57" s="28" t="s">
        <v>1022</v>
      </c>
      <c r="CJ57" s="28" t="s">
        <v>1022</v>
      </c>
      <c r="CK57" s="28" t="s">
        <v>1022</v>
      </c>
      <c r="CL57" s="28" t="s">
        <v>1022</v>
      </c>
      <c r="CM57" s="28" t="s">
        <v>1022</v>
      </c>
      <c r="CN57" s="28" t="s">
        <v>1022</v>
      </c>
      <c r="CO57" s="28" t="s">
        <v>1022</v>
      </c>
      <c r="CP57" s="28" t="s">
        <v>1022</v>
      </c>
      <c r="CQ57" s="28" t="s">
        <v>1022</v>
      </c>
      <c r="CR57" s="28"/>
      <c r="CS57" s="28" t="s">
        <v>983</v>
      </c>
      <c r="CT57" s="28" t="s">
        <v>983</v>
      </c>
      <c r="CU57" s="28" t="s">
        <v>1011</v>
      </c>
      <c r="CV57" s="28" t="s">
        <v>988</v>
      </c>
      <c r="CW57" s="28"/>
      <c r="CX57" s="28" t="s">
        <v>983</v>
      </c>
      <c r="CY57" s="28" t="s">
        <v>1022</v>
      </c>
      <c r="CZ57" s="28" t="s">
        <v>1022</v>
      </c>
      <c r="DA57" s="28" t="s">
        <v>983</v>
      </c>
      <c r="DB57" s="28" t="s">
        <v>1022</v>
      </c>
      <c r="DC57" s="28" t="s">
        <v>1022</v>
      </c>
      <c r="DD57" s="28" t="s">
        <v>1022</v>
      </c>
      <c r="DE57" s="28"/>
      <c r="DF57" s="12">
        <v>56</v>
      </c>
      <c r="DJ57" s="12">
        <v>3</v>
      </c>
      <c r="DK57" s="12">
        <f>Skills!$K$9</f>
        <v>-9.9999999999997868E-3</v>
      </c>
      <c r="DM57" s="12">
        <f>VLOOKUP($DM$54,$DJ$54:$DK$58,2)</f>
        <v>0</v>
      </c>
      <c r="DQ57" s="35">
        <v>54</v>
      </c>
      <c r="DR57" s="32">
        <v>47</v>
      </c>
      <c r="DS57" s="73">
        <v>72</v>
      </c>
      <c r="DT57" s="71">
        <v>25</v>
      </c>
      <c r="DU57" s="21">
        <v>119</v>
      </c>
      <c r="DV57" s="31">
        <f t="shared" si="112"/>
        <v>154</v>
      </c>
      <c r="DW57" s="30">
        <f t="shared" si="113"/>
        <v>222</v>
      </c>
      <c r="DX57" s="36">
        <v>25</v>
      </c>
      <c r="DY57" s="23">
        <v>117</v>
      </c>
      <c r="DZ57" s="12">
        <v>55</v>
      </c>
      <c r="EA57" s="12">
        <f t="shared" si="85"/>
        <v>295</v>
      </c>
      <c r="EB57" s="12">
        <f t="shared" si="86"/>
        <v>290</v>
      </c>
      <c r="EC57" s="12">
        <f t="shared" si="87"/>
        <v>280</v>
      </c>
      <c r="ED57" s="12">
        <f t="shared" si="88"/>
        <v>235</v>
      </c>
      <c r="EE57" s="12">
        <f t="shared" si="89"/>
        <v>200</v>
      </c>
      <c r="EF57" s="12">
        <f t="shared" si="90"/>
        <v>175</v>
      </c>
      <c r="EG57" s="12">
        <f t="shared" si="91"/>
        <v>165</v>
      </c>
      <c r="EH57" s="12">
        <f t="shared" si="92"/>
        <v>165</v>
      </c>
      <c r="EI57" s="12">
        <f t="shared" si="93"/>
        <v>155</v>
      </c>
      <c r="EJ57" s="12">
        <f t="shared" si="94"/>
        <v>145</v>
      </c>
      <c r="EK57" s="12">
        <f t="shared" si="95"/>
        <v>225</v>
      </c>
      <c r="EL57" s="12">
        <f t="shared" si="96"/>
        <v>165</v>
      </c>
      <c r="EM57" s="12">
        <f t="shared" si="97"/>
        <v>155</v>
      </c>
      <c r="EN57" s="12">
        <f t="shared" si="98"/>
        <v>180</v>
      </c>
      <c r="EO57" s="12">
        <f t="shared" si="99"/>
        <v>145</v>
      </c>
      <c r="EP57" s="12">
        <f t="shared" si="100"/>
        <v>135</v>
      </c>
      <c r="EQ57" s="12">
        <f t="shared" si="101"/>
        <v>125</v>
      </c>
      <c r="ER57" s="12">
        <f t="shared" si="102"/>
        <v>170</v>
      </c>
      <c r="ES57" s="12">
        <f t="shared" si="103"/>
        <v>150</v>
      </c>
      <c r="ET57" s="12">
        <f t="shared" si="104"/>
        <v>115</v>
      </c>
      <c r="EU57" s="12">
        <f t="shared" si="105"/>
        <v>140</v>
      </c>
      <c r="EV57" s="12">
        <f t="shared" si="106"/>
        <v>115</v>
      </c>
      <c r="EW57" s="12">
        <f t="shared" si="107"/>
        <v>95</v>
      </c>
      <c r="EX57" s="12">
        <f t="shared" si="108"/>
        <v>85</v>
      </c>
      <c r="EY57" s="12">
        <f t="shared" si="109"/>
        <v>65</v>
      </c>
      <c r="EZ57" s="12">
        <v>57</v>
      </c>
      <c r="FH57" s="12">
        <v>2250000</v>
      </c>
      <c r="FI57" s="12">
        <v>55</v>
      </c>
      <c r="FJ57" s="12">
        <v>2250000</v>
      </c>
    </row>
    <row r="58" spans="1:166" ht="13.35" customHeight="1" x14ac:dyDescent="0.2">
      <c r="A58" s="21">
        <f t="shared" si="110"/>
        <v>57</v>
      </c>
      <c r="B58" s="21">
        <v>0</v>
      </c>
      <c r="C58" s="21">
        <f t="shared" si="111"/>
        <v>57</v>
      </c>
      <c r="U58" s="28"/>
      <c r="DF58" s="12">
        <v>57</v>
      </c>
      <c r="DJ58" s="12">
        <v>4</v>
      </c>
      <c r="DK58" s="12">
        <f>Skills!$K$4</f>
        <v>-9.9999999999997868E-3</v>
      </c>
      <c r="DQ58" s="35">
        <v>55</v>
      </c>
      <c r="DR58" s="32">
        <v>48</v>
      </c>
      <c r="DS58" s="73">
        <v>73</v>
      </c>
      <c r="DT58" s="71">
        <v>25</v>
      </c>
      <c r="DU58" s="21">
        <v>120</v>
      </c>
      <c r="DV58" s="31">
        <f t="shared" si="112"/>
        <v>155</v>
      </c>
      <c r="DW58" s="30">
        <f t="shared" si="113"/>
        <v>225</v>
      </c>
      <c r="DX58" s="36">
        <v>25</v>
      </c>
      <c r="DY58" s="23">
        <v>117.5</v>
      </c>
      <c r="DZ58" s="12">
        <v>56</v>
      </c>
      <c r="EA58" s="12">
        <f t="shared" si="85"/>
        <v>298</v>
      </c>
      <c r="EB58" s="12">
        <f t="shared" si="86"/>
        <v>294</v>
      </c>
      <c r="EC58" s="12">
        <f t="shared" si="87"/>
        <v>284</v>
      </c>
      <c r="ED58" s="12">
        <f t="shared" si="88"/>
        <v>238</v>
      </c>
      <c r="EE58" s="12">
        <f t="shared" si="89"/>
        <v>202</v>
      </c>
      <c r="EF58" s="12">
        <f t="shared" si="90"/>
        <v>176</v>
      </c>
      <c r="EG58" s="12">
        <f t="shared" si="91"/>
        <v>166</v>
      </c>
      <c r="EH58" s="12">
        <f t="shared" si="92"/>
        <v>166</v>
      </c>
      <c r="EI58" s="12">
        <f t="shared" si="93"/>
        <v>156</v>
      </c>
      <c r="EJ58" s="12">
        <f t="shared" si="94"/>
        <v>146</v>
      </c>
      <c r="EK58" s="12">
        <f t="shared" si="95"/>
        <v>228</v>
      </c>
      <c r="EL58" s="12">
        <f t="shared" si="96"/>
        <v>166</v>
      </c>
      <c r="EM58" s="12">
        <f t="shared" si="97"/>
        <v>156</v>
      </c>
      <c r="EN58" s="12">
        <f t="shared" si="98"/>
        <v>182</v>
      </c>
      <c r="EO58" s="12">
        <f t="shared" si="99"/>
        <v>146</v>
      </c>
      <c r="EP58" s="12">
        <f t="shared" si="100"/>
        <v>136</v>
      </c>
      <c r="EQ58" s="12">
        <f t="shared" si="101"/>
        <v>126</v>
      </c>
      <c r="ER58" s="12">
        <f t="shared" si="102"/>
        <v>172</v>
      </c>
      <c r="ES58" s="12">
        <f t="shared" si="103"/>
        <v>152</v>
      </c>
      <c r="ET58" s="12">
        <f t="shared" si="104"/>
        <v>116</v>
      </c>
      <c r="EU58" s="12">
        <f t="shared" si="105"/>
        <v>142</v>
      </c>
      <c r="EV58" s="12">
        <f t="shared" si="106"/>
        <v>116</v>
      </c>
      <c r="EW58" s="12">
        <f t="shared" si="107"/>
        <v>96</v>
      </c>
      <c r="EX58" s="12">
        <f t="shared" si="108"/>
        <v>86</v>
      </c>
      <c r="EY58" s="12">
        <f t="shared" si="109"/>
        <v>66</v>
      </c>
      <c r="EZ58" s="12">
        <v>58</v>
      </c>
      <c r="FH58" s="12">
        <v>2300000</v>
      </c>
      <c r="FI58" s="12">
        <v>56</v>
      </c>
      <c r="FJ58" s="12">
        <v>2300000</v>
      </c>
    </row>
    <row r="59" spans="1:166" ht="13.35" customHeight="1" x14ac:dyDescent="0.2">
      <c r="A59" s="21">
        <f t="shared" si="110"/>
        <v>58</v>
      </c>
      <c r="B59" s="21">
        <v>0</v>
      </c>
      <c r="C59" s="21">
        <f t="shared" si="111"/>
        <v>58</v>
      </c>
      <c r="E59" s="12" t="s">
        <v>1128</v>
      </c>
      <c r="F59" s="12" t="s">
        <v>763</v>
      </c>
      <c r="G59" s="12" t="s">
        <v>764</v>
      </c>
      <c r="H59" s="12" t="s">
        <v>765</v>
      </c>
      <c r="I59" s="12" t="s">
        <v>766</v>
      </c>
      <c r="J59" s="12" t="s">
        <v>767</v>
      </c>
      <c r="K59" s="12" t="s">
        <v>768</v>
      </c>
      <c r="L59" s="12" t="s">
        <v>769</v>
      </c>
      <c r="M59" s="12" t="s">
        <v>770</v>
      </c>
      <c r="N59" s="12" t="s">
        <v>771</v>
      </c>
      <c r="O59" s="12" t="s">
        <v>772</v>
      </c>
      <c r="P59" s="12" t="s">
        <v>773</v>
      </c>
      <c r="Q59" s="12" t="s">
        <v>774</v>
      </c>
      <c r="R59" s="12" t="s">
        <v>775</v>
      </c>
      <c r="S59" s="12" t="s">
        <v>181</v>
      </c>
      <c r="T59" s="12" t="s">
        <v>776</v>
      </c>
      <c r="U59" s="12" t="s">
        <v>777</v>
      </c>
      <c r="V59" s="12" t="s">
        <v>778</v>
      </c>
      <c r="W59" s="12" t="s">
        <v>779</v>
      </c>
      <c r="X59" s="12" t="s">
        <v>780</v>
      </c>
      <c r="Y59" s="12" t="s">
        <v>781</v>
      </c>
      <c r="AA59" s="12" t="str">
        <f>AA2</f>
        <v>Arcanist (AC)</v>
      </c>
      <c r="AB59" s="12" t="str">
        <f>AB2</f>
        <v>Wizard (AC)</v>
      </c>
      <c r="AC59" s="12" t="str">
        <f>AC2</f>
        <v>Chaotic (AC)</v>
      </c>
      <c r="AD59" s="12" t="str">
        <f>AD2</f>
        <v>Magehunter (AC)</v>
      </c>
      <c r="AF59" s="12" t="s">
        <v>786</v>
      </c>
      <c r="AG59" s="12" t="s">
        <v>787</v>
      </c>
      <c r="AH59" s="12" t="s">
        <v>788</v>
      </c>
      <c r="AJ59" s="12" t="s">
        <v>789</v>
      </c>
      <c r="AK59" s="12" t="s">
        <v>790</v>
      </c>
      <c r="AL59" s="12" t="s">
        <v>791</v>
      </c>
      <c r="AM59" s="12" t="s">
        <v>792</v>
      </c>
      <c r="AO59" s="12" t="s">
        <v>793</v>
      </c>
      <c r="AP59" s="12" t="s">
        <v>794</v>
      </c>
      <c r="AQ59" s="12" t="s">
        <v>795</v>
      </c>
      <c r="AS59" s="12" t="s">
        <v>796</v>
      </c>
      <c r="AT59" s="12" t="s">
        <v>797</v>
      </c>
      <c r="AU59" s="12" t="s">
        <v>798</v>
      </c>
      <c r="AV59" s="12" t="s">
        <v>799</v>
      </c>
      <c r="AW59" s="12" t="s">
        <v>800</v>
      </c>
      <c r="AX59" s="12" t="str">
        <f t="shared" ref="AX59:CQ59" si="114">AX2</f>
        <v>Priest of Community</v>
      </c>
      <c r="AY59" s="12" t="str">
        <f t="shared" si="114"/>
        <v>Priest of Competition</v>
      </c>
      <c r="AZ59" s="12" t="str">
        <f t="shared" si="114"/>
        <v>Priest of Crafts</v>
      </c>
      <c r="BA59" s="12" t="str">
        <f t="shared" si="114"/>
        <v>Priest of Culture</v>
      </c>
      <c r="BB59" s="12" t="str">
        <f t="shared" si="114"/>
        <v>Priest of Darkness, Night</v>
      </c>
      <c r="BC59" s="12" t="str">
        <f t="shared" si="114"/>
        <v>Priest of Dawn</v>
      </c>
      <c r="BD59" s="12" t="str">
        <f t="shared" si="114"/>
        <v>Priest of Death</v>
      </c>
      <c r="BE59" s="12" t="str">
        <f t="shared" si="114"/>
        <v>Priest of Disease</v>
      </c>
      <c r="BF59" s="12" t="str">
        <f t="shared" si="114"/>
        <v>Priest of Earth</v>
      </c>
      <c r="BG59" s="12" t="str">
        <f t="shared" si="114"/>
        <v>Priest of Fate, Destiny</v>
      </c>
      <c r="BH59" s="12" t="str">
        <f t="shared" si="114"/>
        <v>Priest of Fertility</v>
      </c>
      <c r="BI59" s="12" t="str">
        <f t="shared" si="114"/>
        <v>Priest of Fire</v>
      </c>
      <c r="BJ59" s="12" t="str">
        <f t="shared" si="114"/>
        <v>Priest of Fortune, Luck</v>
      </c>
      <c r="BK59" s="12" t="str">
        <f t="shared" si="114"/>
        <v>Priest of Guardianship</v>
      </c>
      <c r="BL59" s="12" t="str">
        <f t="shared" si="114"/>
        <v>Priest of Healing</v>
      </c>
      <c r="BM59" s="12" t="str">
        <f t="shared" si="114"/>
        <v>Priest of Hunting</v>
      </c>
      <c r="BN59" s="12" t="str">
        <f t="shared" si="114"/>
        <v>Priest of Justice, Revenge</v>
      </c>
      <c r="BO59" s="12" t="str">
        <f t="shared" si="114"/>
        <v>Priest of Light</v>
      </c>
      <c r="BP59" s="12" t="str">
        <f t="shared" si="114"/>
        <v>Priest of Lightning</v>
      </c>
      <c r="BQ59" s="12" t="str">
        <f t="shared" si="114"/>
        <v>Priest of Literature</v>
      </c>
      <c r="BR59" s="12" t="str">
        <f t="shared" si="114"/>
        <v>Priest of Love</v>
      </c>
      <c r="BS59" s="12" t="str">
        <f t="shared" si="114"/>
        <v>Priest of Magic</v>
      </c>
      <c r="BT59" s="12" t="str">
        <f t="shared" si="114"/>
        <v>Priest of Marriage</v>
      </c>
      <c r="BU59" s="12" t="str">
        <f t="shared" si="114"/>
        <v>Priest of Messengers</v>
      </c>
      <c r="BV59" s="12" t="str">
        <f t="shared" si="114"/>
        <v>Priest of Metalwork</v>
      </c>
      <c r="BW59" s="12" t="str">
        <f t="shared" si="114"/>
        <v>Priest of Mischief/Trickery</v>
      </c>
      <c r="BX59" s="12" t="str">
        <f t="shared" si="114"/>
        <v>Priest of Moon</v>
      </c>
      <c r="BY59" s="12" t="str">
        <f t="shared" si="114"/>
        <v>Priest of Music, Dance</v>
      </c>
      <c r="BZ59" s="12" t="str">
        <f t="shared" si="114"/>
        <v>Priest of Nature</v>
      </c>
      <c r="CA59" s="12" t="str">
        <f t="shared" si="114"/>
        <v>Priest of Ocean, Rivers</v>
      </c>
      <c r="CB59" s="12" t="str">
        <f t="shared" si="114"/>
        <v>Priest of Oracles</v>
      </c>
      <c r="CC59" s="12" t="str">
        <f t="shared" si="114"/>
        <v>Priest of Peace</v>
      </c>
      <c r="CD59" s="12" t="str">
        <f t="shared" si="114"/>
        <v>Priest of Prosperity</v>
      </c>
      <c r="CE59" s="12" t="str">
        <f t="shared" si="114"/>
        <v>Priest of Redemption</v>
      </c>
      <c r="CF59" s="12" t="str">
        <f t="shared" si="114"/>
        <v>Priest of Rulership</v>
      </c>
      <c r="CG59" s="12" t="str">
        <f t="shared" si="114"/>
        <v>Priest of Seasons</v>
      </c>
      <c r="CH59" s="12" t="str">
        <f t="shared" si="114"/>
        <v>Priest of Sky, Weather</v>
      </c>
      <c r="CI59" s="12" t="str">
        <f t="shared" si="114"/>
        <v>Priest of Strength</v>
      </c>
      <c r="CJ59" s="12" t="str">
        <f t="shared" si="114"/>
        <v>Priest of Sun</v>
      </c>
      <c r="CK59" s="12" t="str">
        <f t="shared" si="114"/>
        <v>Priest of Thunder</v>
      </c>
      <c r="CL59" s="12" t="str">
        <f t="shared" si="114"/>
        <v>Priest of Time</v>
      </c>
      <c r="CM59" s="12" t="str">
        <f t="shared" si="114"/>
        <v>Priest of Trade</v>
      </c>
      <c r="CN59" s="12" t="str">
        <f t="shared" si="114"/>
        <v>Priest of Vegetation</v>
      </c>
      <c r="CO59" s="12" t="str">
        <f t="shared" si="114"/>
        <v>Priest of War</v>
      </c>
      <c r="CP59" s="12" t="str">
        <f t="shared" si="114"/>
        <v>Priest of Wind</v>
      </c>
      <c r="CQ59" s="12" t="str">
        <f t="shared" si="114"/>
        <v>Priest of Wisdom</v>
      </c>
      <c r="CS59" s="12" t="str">
        <f>CS2</f>
        <v>Barbarian (FRP)</v>
      </c>
      <c r="CT59" s="12" t="str">
        <f>CT2</f>
        <v>Outrider (FRP)</v>
      </c>
      <c r="CU59" s="12" t="str">
        <f>CU2</f>
        <v>Sage (FRP)</v>
      </c>
      <c r="CV59" s="12" t="str">
        <f>CV2</f>
        <v>Swashbuckler (FRP)</v>
      </c>
      <c r="CX59" s="12" t="s">
        <v>851</v>
      </c>
      <c r="CY59" s="12" t="s">
        <v>852</v>
      </c>
      <c r="CZ59" s="12" t="s">
        <v>853</v>
      </c>
      <c r="DA59" s="12" t="s">
        <v>1129</v>
      </c>
      <c r="DB59" s="12" t="s">
        <v>855</v>
      </c>
      <c r="DC59" s="12" t="s">
        <v>856</v>
      </c>
      <c r="DD59" s="12" t="s">
        <v>857</v>
      </c>
      <c r="DE59" s="12" t="str">
        <f>DE2</f>
        <v>NEW PROF</v>
      </c>
      <c r="DQ59" s="35">
        <v>56</v>
      </c>
      <c r="DR59" s="32">
        <v>48</v>
      </c>
      <c r="DS59" s="73">
        <v>73</v>
      </c>
      <c r="DT59" s="71">
        <v>25</v>
      </c>
      <c r="DU59" s="21">
        <v>121</v>
      </c>
      <c r="DV59" s="31">
        <f t="shared" si="112"/>
        <v>156</v>
      </c>
      <c r="DW59" s="30">
        <f t="shared" si="113"/>
        <v>228</v>
      </c>
      <c r="DX59" s="36">
        <v>25</v>
      </c>
      <c r="DY59" s="23">
        <v>118</v>
      </c>
      <c r="DZ59" s="12">
        <v>57</v>
      </c>
      <c r="EA59" s="12">
        <f t="shared" si="85"/>
        <v>301</v>
      </c>
      <c r="EB59" s="12">
        <f t="shared" si="86"/>
        <v>298</v>
      </c>
      <c r="EC59" s="12">
        <f t="shared" si="87"/>
        <v>288</v>
      </c>
      <c r="ED59" s="12">
        <f t="shared" si="88"/>
        <v>241</v>
      </c>
      <c r="EE59" s="12">
        <f t="shared" si="89"/>
        <v>204</v>
      </c>
      <c r="EF59" s="12">
        <f t="shared" si="90"/>
        <v>177</v>
      </c>
      <c r="EG59" s="12">
        <f t="shared" si="91"/>
        <v>167</v>
      </c>
      <c r="EH59" s="12">
        <f t="shared" si="92"/>
        <v>167</v>
      </c>
      <c r="EI59" s="12">
        <f t="shared" si="93"/>
        <v>157</v>
      </c>
      <c r="EJ59" s="12">
        <f t="shared" si="94"/>
        <v>147</v>
      </c>
      <c r="EK59" s="12">
        <f t="shared" si="95"/>
        <v>231</v>
      </c>
      <c r="EL59" s="12">
        <f t="shared" si="96"/>
        <v>167</v>
      </c>
      <c r="EM59" s="12">
        <f t="shared" si="97"/>
        <v>157</v>
      </c>
      <c r="EN59" s="12">
        <f t="shared" si="98"/>
        <v>184</v>
      </c>
      <c r="EO59" s="12">
        <f t="shared" si="99"/>
        <v>147</v>
      </c>
      <c r="EP59" s="12">
        <f t="shared" si="100"/>
        <v>137</v>
      </c>
      <c r="EQ59" s="12">
        <f t="shared" si="101"/>
        <v>127</v>
      </c>
      <c r="ER59" s="12">
        <f t="shared" si="102"/>
        <v>174</v>
      </c>
      <c r="ES59" s="12">
        <f t="shared" si="103"/>
        <v>154</v>
      </c>
      <c r="ET59" s="12">
        <f t="shared" si="104"/>
        <v>117</v>
      </c>
      <c r="EU59" s="12">
        <f t="shared" si="105"/>
        <v>144</v>
      </c>
      <c r="EV59" s="12">
        <f t="shared" si="106"/>
        <v>117</v>
      </c>
      <c r="EW59" s="12">
        <f t="shared" si="107"/>
        <v>97</v>
      </c>
      <c r="EX59" s="12">
        <f t="shared" si="108"/>
        <v>87</v>
      </c>
      <c r="EY59" s="12">
        <f t="shared" si="109"/>
        <v>67</v>
      </c>
      <c r="EZ59" s="12">
        <v>59</v>
      </c>
      <c r="FH59" s="12">
        <v>2350000</v>
      </c>
      <c r="FI59" s="12">
        <v>57</v>
      </c>
      <c r="FJ59" s="12">
        <v>2350000</v>
      </c>
    </row>
    <row r="60" spans="1:166" ht="13.35" customHeight="1" thickBot="1" x14ac:dyDescent="0.25">
      <c r="A60" s="21">
        <f t="shared" si="110"/>
        <v>59</v>
      </c>
      <c r="B60" s="21">
        <v>0</v>
      </c>
      <c r="C60" s="21">
        <f t="shared" si="111"/>
        <v>59</v>
      </c>
      <c r="D60" s="12">
        <v>3</v>
      </c>
      <c r="E60" s="27" t="s">
        <v>380</v>
      </c>
      <c r="F60" s="12">
        <v>10</v>
      </c>
      <c r="H60" s="12">
        <v>5</v>
      </c>
      <c r="U60" s="12">
        <v>5</v>
      </c>
      <c r="AD60" s="12">
        <v>5</v>
      </c>
      <c r="AJ60" s="12">
        <v>10</v>
      </c>
      <c r="AX60" s="12">
        <v>10</v>
      </c>
      <c r="AY60" s="12">
        <v>10</v>
      </c>
      <c r="AZ60" s="12">
        <v>5</v>
      </c>
      <c r="BA60" s="12">
        <v>10</v>
      </c>
      <c r="BE60" s="12">
        <v>5</v>
      </c>
      <c r="BF60" s="12">
        <v>5</v>
      </c>
      <c r="BG60" s="12">
        <v>5</v>
      </c>
      <c r="BI60" s="12">
        <v>10</v>
      </c>
      <c r="BK60" s="12">
        <v>10</v>
      </c>
      <c r="BN60" s="12">
        <v>10</v>
      </c>
      <c r="BP60" s="12">
        <v>10</v>
      </c>
      <c r="BT60" s="12">
        <v>5</v>
      </c>
      <c r="BV60" s="12">
        <v>10</v>
      </c>
      <c r="BX60" s="12">
        <v>5</v>
      </c>
      <c r="BY60" s="12">
        <v>5</v>
      </c>
      <c r="BZ60" s="12">
        <v>5</v>
      </c>
      <c r="CC60" s="12">
        <v>10</v>
      </c>
      <c r="CD60" s="12">
        <v>10</v>
      </c>
      <c r="CE60" s="12">
        <v>10</v>
      </c>
      <c r="CF60" s="12">
        <v>10</v>
      </c>
      <c r="CH60" s="12">
        <v>5</v>
      </c>
      <c r="CI60" s="12">
        <v>10</v>
      </c>
      <c r="CJ60" s="12">
        <v>10</v>
      </c>
      <c r="CK60" s="12">
        <v>10</v>
      </c>
      <c r="CL60" s="12">
        <v>5</v>
      </c>
      <c r="CM60" s="12">
        <v>10</v>
      </c>
      <c r="CO60" s="12">
        <v>10</v>
      </c>
      <c r="CP60" s="12">
        <v>5</v>
      </c>
      <c r="CQ60" s="12">
        <v>10</v>
      </c>
      <c r="CT60" s="12">
        <v>5</v>
      </c>
      <c r="CV60" s="12">
        <v>5</v>
      </c>
      <c r="DQ60" s="35">
        <v>57</v>
      </c>
      <c r="DR60" s="32">
        <v>49</v>
      </c>
      <c r="DS60" s="73">
        <v>74</v>
      </c>
      <c r="DT60" s="71">
        <v>25</v>
      </c>
      <c r="DU60" s="21">
        <v>122</v>
      </c>
      <c r="DV60" s="31">
        <f t="shared" si="112"/>
        <v>157</v>
      </c>
      <c r="DW60" s="30">
        <f t="shared" si="113"/>
        <v>231</v>
      </c>
      <c r="DX60" s="36">
        <v>25</v>
      </c>
      <c r="DY60" s="23">
        <v>118.5</v>
      </c>
      <c r="DZ60" s="12">
        <v>58</v>
      </c>
      <c r="EA60" s="12">
        <f t="shared" si="85"/>
        <v>304</v>
      </c>
      <c r="EB60" s="12">
        <f t="shared" si="86"/>
        <v>302</v>
      </c>
      <c r="EC60" s="12">
        <f t="shared" si="87"/>
        <v>292</v>
      </c>
      <c r="ED60" s="12">
        <f t="shared" si="88"/>
        <v>244</v>
      </c>
      <c r="EE60" s="12">
        <f t="shared" si="89"/>
        <v>206</v>
      </c>
      <c r="EF60" s="12">
        <f t="shared" si="90"/>
        <v>178</v>
      </c>
      <c r="EG60" s="12">
        <f t="shared" si="91"/>
        <v>168</v>
      </c>
      <c r="EH60" s="12">
        <f t="shared" si="92"/>
        <v>168</v>
      </c>
      <c r="EI60" s="12">
        <f t="shared" si="93"/>
        <v>158</v>
      </c>
      <c r="EJ60" s="12">
        <f t="shared" si="94"/>
        <v>148</v>
      </c>
      <c r="EK60" s="12">
        <f t="shared" si="95"/>
        <v>234</v>
      </c>
      <c r="EL60" s="12">
        <f t="shared" si="96"/>
        <v>168</v>
      </c>
      <c r="EM60" s="12">
        <f t="shared" si="97"/>
        <v>158</v>
      </c>
      <c r="EN60" s="12">
        <f t="shared" si="98"/>
        <v>186</v>
      </c>
      <c r="EO60" s="12">
        <f t="shared" si="99"/>
        <v>148</v>
      </c>
      <c r="EP60" s="12">
        <f t="shared" si="100"/>
        <v>138</v>
      </c>
      <c r="EQ60" s="12">
        <f t="shared" si="101"/>
        <v>128</v>
      </c>
      <c r="ER60" s="12">
        <f t="shared" si="102"/>
        <v>176</v>
      </c>
      <c r="ES60" s="12">
        <f t="shared" si="103"/>
        <v>156</v>
      </c>
      <c r="ET60" s="12">
        <f t="shared" si="104"/>
        <v>118</v>
      </c>
      <c r="EU60" s="12">
        <f t="shared" si="105"/>
        <v>146</v>
      </c>
      <c r="EV60" s="12">
        <f t="shared" si="106"/>
        <v>118</v>
      </c>
      <c r="EW60" s="12">
        <f t="shared" si="107"/>
        <v>98</v>
      </c>
      <c r="EX60" s="12">
        <f t="shared" si="108"/>
        <v>88</v>
      </c>
      <c r="EY60" s="12">
        <f t="shared" si="109"/>
        <v>68</v>
      </c>
      <c r="EZ60" s="12">
        <v>60</v>
      </c>
      <c r="FH60" s="12">
        <v>2400000</v>
      </c>
      <c r="FI60" s="12">
        <v>58</v>
      </c>
      <c r="FJ60" s="12">
        <v>2400000</v>
      </c>
    </row>
    <row r="61" spans="1:166" ht="13.35" customHeight="1" thickBot="1" x14ac:dyDescent="0.25">
      <c r="A61" s="21">
        <f t="shared" si="110"/>
        <v>60</v>
      </c>
      <c r="B61" s="21">
        <v>0</v>
      </c>
      <c r="C61" s="21">
        <f t="shared" si="111"/>
        <v>60</v>
      </c>
      <c r="D61" s="12">
        <v>4</v>
      </c>
      <c r="E61" s="34" t="s">
        <v>386</v>
      </c>
      <c r="F61" s="12">
        <v>10</v>
      </c>
      <c r="H61" s="12">
        <v>5</v>
      </c>
      <c r="U61" s="12">
        <v>5</v>
      </c>
      <c r="AD61" s="12">
        <v>5</v>
      </c>
      <c r="AJ61" s="12">
        <v>10</v>
      </c>
      <c r="AX61" s="12">
        <v>10</v>
      </c>
      <c r="AY61" s="12">
        <v>10</v>
      </c>
      <c r="AZ61" s="12">
        <v>5</v>
      </c>
      <c r="BA61" s="12">
        <v>10</v>
      </c>
      <c r="BE61" s="12">
        <v>5</v>
      </c>
      <c r="BF61" s="12">
        <v>5</v>
      </c>
      <c r="BG61" s="12">
        <v>5</v>
      </c>
      <c r="BH61" s="12">
        <v>10</v>
      </c>
      <c r="BI61" s="12">
        <v>10</v>
      </c>
      <c r="BK61" s="12">
        <v>10</v>
      </c>
      <c r="BN61" s="12">
        <v>10</v>
      </c>
      <c r="BP61" s="12">
        <v>10</v>
      </c>
      <c r="BT61" s="12">
        <v>5</v>
      </c>
      <c r="BU61" s="12">
        <v>10</v>
      </c>
      <c r="BV61" s="12">
        <v>10</v>
      </c>
      <c r="BX61" s="12">
        <v>5</v>
      </c>
      <c r="BY61" s="12">
        <v>5</v>
      </c>
      <c r="BZ61" s="12">
        <v>5</v>
      </c>
      <c r="CC61" s="12">
        <v>10</v>
      </c>
      <c r="CD61" s="12">
        <v>10</v>
      </c>
      <c r="CE61" s="12">
        <v>10</v>
      </c>
      <c r="CF61" s="12">
        <v>10</v>
      </c>
      <c r="CH61" s="12">
        <v>5</v>
      </c>
      <c r="CI61" s="12">
        <v>10</v>
      </c>
      <c r="CJ61" s="12">
        <v>10</v>
      </c>
      <c r="CK61" s="12">
        <v>10</v>
      </c>
      <c r="CL61" s="12">
        <v>5</v>
      </c>
      <c r="CM61" s="12">
        <v>10</v>
      </c>
      <c r="CO61" s="12">
        <v>10</v>
      </c>
      <c r="CP61" s="12">
        <v>5</v>
      </c>
      <c r="CQ61" s="12">
        <v>10</v>
      </c>
      <c r="CT61" s="12">
        <v>5</v>
      </c>
      <c r="CV61" s="12">
        <v>5</v>
      </c>
      <c r="DH61" s="94" t="s">
        <v>4923</v>
      </c>
      <c r="DI61" s="95" t="s">
        <v>1143</v>
      </c>
      <c r="DJ61" s="95" t="s">
        <v>1144</v>
      </c>
      <c r="DK61" s="95" t="s">
        <v>1145</v>
      </c>
      <c r="DL61" s="95" t="s">
        <v>1146</v>
      </c>
      <c r="DM61" s="96" t="s">
        <v>1147</v>
      </c>
      <c r="DQ61" s="35">
        <v>58</v>
      </c>
      <c r="DR61" s="32">
        <v>49</v>
      </c>
      <c r="DS61" s="73">
        <v>74</v>
      </c>
      <c r="DT61" s="71">
        <v>25</v>
      </c>
      <c r="DU61" s="21">
        <v>123</v>
      </c>
      <c r="DV61" s="31">
        <f t="shared" si="112"/>
        <v>158</v>
      </c>
      <c r="DW61" s="30">
        <f t="shared" si="113"/>
        <v>234</v>
      </c>
      <c r="DX61" s="36">
        <v>25</v>
      </c>
      <c r="DY61" s="23">
        <v>119</v>
      </c>
      <c r="DZ61" s="12">
        <v>59</v>
      </c>
      <c r="EA61" s="12">
        <f t="shared" si="85"/>
        <v>307</v>
      </c>
      <c r="EB61" s="12">
        <f t="shared" si="86"/>
        <v>306</v>
      </c>
      <c r="EC61" s="12">
        <f t="shared" si="87"/>
        <v>296</v>
      </c>
      <c r="ED61" s="12">
        <f t="shared" si="88"/>
        <v>247</v>
      </c>
      <c r="EE61" s="12">
        <f t="shared" si="89"/>
        <v>208</v>
      </c>
      <c r="EF61" s="12">
        <f t="shared" si="90"/>
        <v>179</v>
      </c>
      <c r="EG61" s="12">
        <f t="shared" si="91"/>
        <v>169</v>
      </c>
      <c r="EH61" s="12">
        <f t="shared" si="92"/>
        <v>169</v>
      </c>
      <c r="EI61" s="12">
        <f t="shared" si="93"/>
        <v>159</v>
      </c>
      <c r="EJ61" s="12">
        <f t="shared" si="94"/>
        <v>149</v>
      </c>
      <c r="EK61" s="12">
        <f t="shared" si="95"/>
        <v>237</v>
      </c>
      <c r="EL61" s="12">
        <f t="shared" si="96"/>
        <v>169</v>
      </c>
      <c r="EM61" s="12">
        <f t="shared" si="97"/>
        <v>159</v>
      </c>
      <c r="EN61" s="12">
        <f t="shared" si="98"/>
        <v>188</v>
      </c>
      <c r="EO61" s="12">
        <f t="shared" si="99"/>
        <v>149</v>
      </c>
      <c r="EP61" s="12">
        <f t="shared" si="100"/>
        <v>139</v>
      </c>
      <c r="EQ61" s="12">
        <f t="shared" si="101"/>
        <v>129</v>
      </c>
      <c r="ER61" s="12">
        <f t="shared" si="102"/>
        <v>178</v>
      </c>
      <c r="ES61" s="12">
        <f t="shared" si="103"/>
        <v>158</v>
      </c>
      <c r="ET61" s="12">
        <f t="shared" si="104"/>
        <v>119</v>
      </c>
      <c r="EU61" s="12">
        <f t="shared" si="105"/>
        <v>148</v>
      </c>
      <c r="EV61" s="12">
        <f t="shared" si="106"/>
        <v>119</v>
      </c>
      <c r="EW61" s="12">
        <f t="shared" si="107"/>
        <v>99</v>
      </c>
      <c r="EX61" s="12">
        <f t="shared" si="108"/>
        <v>89</v>
      </c>
      <c r="EY61" s="12">
        <f t="shared" si="109"/>
        <v>69</v>
      </c>
      <c r="EZ61" s="12">
        <v>61</v>
      </c>
      <c r="FH61" s="12">
        <v>2450000</v>
      </c>
      <c r="FI61" s="12">
        <v>59</v>
      </c>
      <c r="FJ61" s="12">
        <v>2450000</v>
      </c>
    </row>
    <row r="62" spans="1:166" ht="13.35" customHeight="1" thickBot="1" x14ac:dyDescent="0.25">
      <c r="A62" s="21">
        <f t="shared" si="110"/>
        <v>61</v>
      </c>
      <c r="B62" s="21">
        <v>0</v>
      </c>
      <c r="C62" s="21">
        <f t="shared" si="111"/>
        <v>61</v>
      </c>
      <c r="D62" s="12">
        <v>5</v>
      </c>
      <c r="E62" s="34" t="s">
        <v>391</v>
      </c>
      <c r="F62" s="12">
        <v>10</v>
      </c>
      <c r="H62" s="12">
        <v>5</v>
      </c>
      <c r="U62" s="12">
        <v>5</v>
      </c>
      <c r="AD62" s="12">
        <v>5</v>
      </c>
      <c r="AJ62" s="12">
        <v>10</v>
      </c>
      <c r="AX62" s="12">
        <v>10</v>
      </c>
      <c r="AY62" s="12">
        <v>10</v>
      </c>
      <c r="AZ62" s="12">
        <v>5</v>
      </c>
      <c r="BA62" s="12">
        <v>10</v>
      </c>
      <c r="BE62" s="12">
        <v>5</v>
      </c>
      <c r="BF62" s="12">
        <v>5</v>
      </c>
      <c r="BG62" s="12">
        <v>5</v>
      </c>
      <c r="BI62" s="12">
        <v>10</v>
      </c>
      <c r="BK62" s="12">
        <v>10</v>
      </c>
      <c r="BN62" s="12">
        <v>10</v>
      </c>
      <c r="BP62" s="12">
        <v>10</v>
      </c>
      <c r="BT62" s="12">
        <v>5</v>
      </c>
      <c r="BV62" s="12">
        <v>10</v>
      </c>
      <c r="BX62" s="12">
        <v>5</v>
      </c>
      <c r="BY62" s="12">
        <v>5</v>
      </c>
      <c r="BZ62" s="12">
        <v>5</v>
      </c>
      <c r="CC62" s="12">
        <v>10</v>
      </c>
      <c r="CD62" s="12">
        <v>10</v>
      </c>
      <c r="CE62" s="12">
        <v>10</v>
      </c>
      <c r="CF62" s="12">
        <v>10</v>
      </c>
      <c r="CH62" s="12">
        <v>5</v>
      </c>
      <c r="CI62" s="12">
        <v>10</v>
      </c>
      <c r="CJ62" s="12">
        <v>10</v>
      </c>
      <c r="CK62" s="12">
        <v>10</v>
      </c>
      <c r="CL62" s="12">
        <v>5</v>
      </c>
      <c r="CM62" s="12">
        <v>10</v>
      </c>
      <c r="CO62" s="12">
        <v>10</v>
      </c>
      <c r="CP62" s="12">
        <v>5</v>
      </c>
      <c r="CQ62" s="12">
        <v>10</v>
      </c>
      <c r="CT62" s="12">
        <v>5</v>
      </c>
      <c r="CV62" s="12">
        <v>5</v>
      </c>
      <c r="DH62" s="97">
        <v>1</v>
      </c>
      <c r="DI62" s="12" t="s">
        <v>1150</v>
      </c>
      <c r="DM62" s="98" t="s">
        <v>1151</v>
      </c>
      <c r="DQ62" s="35">
        <v>59</v>
      </c>
      <c r="DR62" s="32">
        <v>50</v>
      </c>
      <c r="DS62" s="73">
        <v>75</v>
      </c>
      <c r="DT62" s="71">
        <v>25</v>
      </c>
      <c r="DU62" s="21">
        <v>124</v>
      </c>
      <c r="DV62" s="31">
        <f t="shared" si="112"/>
        <v>159</v>
      </c>
      <c r="DW62" s="30">
        <f t="shared" si="113"/>
        <v>237</v>
      </c>
      <c r="DX62" s="36">
        <v>25</v>
      </c>
      <c r="DY62" s="23">
        <v>119.5</v>
      </c>
      <c r="DZ62" s="20">
        <v>60</v>
      </c>
      <c r="EA62" s="12">
        <f t="shared" si="85"/>
        <v>310</v>
      </c>
      <c r="EB62" s="78">
        <f t="shared" si="86"/>
        <v>310</v>
      </c>
      <c r="EC62" s="78">
        <f t="shared" si="87"/>
        <v>300</v>
      </c>
      <c r="ED62" s="78">
        <f t="shared" si="88"/>
        <v>250</v>
      </c>
      <c r="EE62" s="78">
        <f t="shared" si="89"/>
        <v>210</v>
      </c>
      <c r="EF62" s="78">
        <f t="shared" si="90"/>
        <v>180</v>
      </c>
      <c r="EG62" s="78">
        <f t="shared" si="91"/>
        <v>170</v>
      </c>
      <c r="EH62" s="78">
        <f t="shared" si="92"/>
        <v>170</v>
      </c>
      <c r="EI62" s="78">
        <f t="shared" si="93"/>
        <v>160</v>
      </c>
      <c r="EJ62" s="78">
        <f t="shared" si="94"/>
        <v>150</v>
      </c>
      <c r="EK62" s="78">
        <f t="shared" si="95"/>
        <v>240</v>
      </c>
      <c r="EL62" s="78">
        <f t="shared" si="96"/>
        <v>170</v>
      </c>
      <c r="EM62" s="78">
        <f t="shared" si="97"/>
        <v>160</v>
      </c>
      <c r="EN62" s="78">
        <f t="shared" si="98"/>
        <v>190</v>
      </c>
      <c r="EO62" s="78">
        <f t="shared" si="99"/>
        <v>150</v>
      </c>
      <c r="EP62" s="78">
        <f t="shared" si="100"/>
        <v>140</v>
      </c>
      <c r="EQ62" s="78">
        <f t="shared" si="101"/>
        <v>130</v>
      </c>
      <c r="ER62" s="78">
        <f t="shared" si="102"/>
        <v>180</v>
      </c>
      <c r="ES62" s="78">
        <f t="shared" si="103"/>
        <v>160</v>
      </c>
      <c r="ET62" s="78">
        <f t="shared" si="104"/>
        <v>120</v>
      </c>
      <c r="EU62" s="78">
        <f t="shared" si="105"/>
        <v>150</v>
      </c>
      <c r="EV62" s="78">
        <f t="shared" si="106"/>
        <v>120</v>
      </c>
      <c r="EW62" s="78">
        <f t="shared" si="107"/>
        <v>100</v>
      </c>
      <c r="EX62" s="78">
        <f t="shared" si="108"/>
        <v>90</v>
      </c>
      <c r="EY62" s="78">
        <f t="shared" si="109"/>
        <v>70</v>
      </c>
      <c r="EZ62" s="78">
        <v>62</v>
      </c>
      <c r="FH62" s="12">
        <v>2500000</v>
      </c>
      <c r="FI62" s="12">
        <v>60</v>
      </c>
      <c r="FJ62" s="12">
        <v>2500000</v>
      </c>
    </row>
    <row r="63" spans="1:166" ht="13.35" customHeight="1" thickBot="1" x14ac:dyDescent="0.25">
      <c r="A63" s="21">
        <f t="shared" si="110"/>
        <v>62</v>
      </c>
      <c r="B63" s="21">
        <v>0</v>
      </c>
      <c r="C63" s="21">
        <f t="shared" si="111"/>
        <v>62</v>
      </c>
      <c r="D63" s="12">
        <v>6</v>
      </c>
      <c r="E63" s="34" t="s">
        <v>393</v>
      </c>
      <c r="X63" s="12">
        <v>5</v>
      </c>
      <c r="AV63" s="12">
        <v>15</v>
      </c>
      <c r="BQ63" s="12">
        <v>10</v>
      </c>
      <c r="BY63" s="12">
        <v>15</v>
      </c>
      <c r="DH63" s="97">
        <v>2</v>
      </c>
      <c r="DI63" s="12" t="s">
        <v>1174</v>
      </c>
      <c r="DJ63" s="12">
        <v>1</v>
      </c>
      <c r="DM63" s="98" t="s">
        <v>1175</v>
      </c>
      <c r="DQ63" s="35">
        <v>60</v>
      </c>
      <c r="DR63" s="32">
        <v>50</v>
      </c>
      <c r="DS63" s="73">
        <v>75</v>
      </c>
      <c r="DT63" s="71">
        <v>25</v>
      </c>
      <c r="DU63" s="21">
        <v>125</v>
      </c>
      <c r="DV63" s="31">
        <f t="shared" si="112"/>
        <v>160</v>
      </c>
      <c r="DW63" s="30">
        <f t="shared" si="113"/>
        <v>240</v>
      </c>
      <c r="DX63" s="36">
        <v>25</v>
      </c>
      <c r="DY63" s="23">
        <v>120</v>
      </c>
      <c r="DZ63" s="12">
        <v>61</v>
      </c>
      <c r="EA63" s="12">
        <f t="shared" si="85"/>
        <v>313</v>
      </c>
      <c r="EB63" s="12">
        <f t="shared" si="86"/>
        <v>314</v>
      </c>
      <c r="EC63" s="12">
        <f t="shared" si="87"/>
        <v>304</v>
      </c>
      <c r="ED63" s="12">
        <f t="shared" si="88"/>
        <v>253</v>
      </c>
      <c r="EE63" s="12">
        <f t="shared" si="89"/>
        <v>212</v>
      </c>
      <c r="EF63" s="12">
        <f t="shared" si="90"/>
        <v>181</v>
      </c>
      <c r="EG63" s="12">
        <f t="shared" si="91"/>
        <v>171</v>
      </c>
      <c r="EH63" s="12">
        <f t="shared" si="92"/>
        <v>171</v>
      </c>
      <c r="EI63" s="12">
        <f t="shared" si="93"/>
        <v>161</v>
      </c>
      <c r="EJ63" s="12">
        <f t="shared" si="94"/>
        <v>151</v>
      </c>
      <c r="EK63" s="12">
        <f t="shared" si="95"/>
        <v>243</v>
      </c>
      <c r="EL63" s="12">
        <f t="shared" si="96"/>
        <v>171</v>
      </c>
      <c r="EM63" s="12">
        <f t="shared" si="97"/>
        <v>161</v>
      </c>
      <c r="EN63" s="12">
        <f t="shared" si="98"/>
        <v>192</v>
      </c>
      <c r="EO63" s="12">
        <f t="shared" si="99"/>
        <v>151</v>
      </c>
      <c r="EP63" s="12">
        <f t="shared" si="100"/>
        <v>141</v>
      </c>
      <c r="EQ63" s="12">
        <f t="shared" si="101"/>
        <v>131</v>
      </c>
      <c r="ER63" s="12">
        <f t="shared" si="102"/>
        <v>182</v>
      </c>
      <c r="ES63" s="12">
        <f t="shared" si="103"/>
        <v>162</v>
      </c>
      <c r="ET63" s="12">
        <f t="shared" si="104"/>
        <v>121</v>
      </c>
      <c r="EU63" s="12">
        <f t="shared" si="105"/>
        <v>152</v>
      </c>
      <c r="EV63" s="12">
        <f t="shared" si="106"/>
        <v>121</v>
      </c>
      <c r="EW63" s="12">
        <f t="shared" si="107"/>
        <v>101</v>
      </c>
      <c r="EX63" s="12">
        <f t="shared" si="108"/>
        <v>91</v>
      </c>
      <c r="EY63" s="12">
        <f t="shared" si="109"/>
        <v>71</v>
      </c>
      <c r="EZ63" s="12">
        <v>63</v>
      </c>
      <c r="FH63" s="12">
        <v>2550000</v>
      </c>
      <c r="FI63" s="12">
        <v>61</v>
      </c>
      <c r="FJ63" s="12">
        <v>2550000</v>
      </c>
    </row>
    <row r="64" spans="1:166" ht="13.35" customHeight="1" thickBot="1" x14ac:dyDescent="0.25">
      <c r="A64" s="21">
        <f t="shared" si="110"/>
        <v>63</v>
      </c>
      <c r="B64" s="21">
        <v>0</v>
      </c>
      <c r="C64" s="21">
        <f t="shared" si="111"/>
        <v>63</v>
      </c>
      <c r="D64" s="12">
        <v>7</v>
      </c>
      <c r="E64" s="34" t="s">
        <v>406</v>
      </c>
      <c r="AV64" s="12">
        <v>15</v>
      </c>
      <c r="AZ64" s="12">
        <v>10</v>
      </c>
      <c r="BQ64" s="12">
        <v>10</v>
      </c>
      <c r="BY64" s="12">
        <v>15</v>
      </c>
      <c r="DH64" s="97">
        <v>10</v>
      </c>
      <c r="DI64" s="12" t="s">
        <v>1190</v>
      </c>
      <c r="DJ64" s="12">
        <v>5</v>
      </c>
      <c r="DM64" s="98" t="s">
        <v>1191</v>
      </c>
      <c r="DQ64" s="35">
        <v>61</v>
      </c>
      <c r="DR64" s="32">
        <v>51</v>
      </c>
      <c r="DS64" s="73">
        <v>76</v>
      </c>
      <c r="DT64" s="71">
        <v>25</v>
      </c>
      <c r="DU64" s="21">
        <v>126</v>
      </c>
      <c r="DV64" s="31">
        <f t="shared" si="112"/>
        <v>161</v>
      </c>
      <c r="DW64" s="30">
        <f t="shared" si="113"/>
        <v>243</v>
      </c>
      <c r="DX64" s="36">
        <v>25</v>
      </c>
      <c r="DY64" s="23">
        <v>120.5</v>
      </c>
      <c r="DZ64" s="12">
        <v>62</v>
      </c>
      <c r="EA64" s="12">
        <f t="shared" si="85"/>
        <v>316</v>
      </c>
      <c r="EB64" s="12">
        <f t="shared" si="86"/>
        <v>318</v>
      </c>
      <c r="EC64" s="12">
        <f t="shared" si="87"/>
        <v>308</v>
      </c>
      <c r="ED64" s="12">
        <f t="shared" si="88"/>
        <v>256</v>
      </c>
      <c r="EE64" s="12">
        <f t="shared" si="89"/>
        <v>214</v>
      </c>
      <c r="EF64" s="12">
        <f t="shared" si="90"/>
        <v>182</v>
      </c>
      <c r="EG64" s="12">
        <f t="shared" si="91"/>
        <v>172</v>
      </c>
      <c r="EH64" s="12">
        <f t="shared" si="92"/>
        <v>172</v>
      </c>
      <c r="EI64" s="12">
        <f t="shared" si="93"/>
        <v>162</v>
      </c>
      <c r="EJ64" s="12">
        <f t="shared" si="94"/>
        <v>152</v>
      </c>
      <c r="EK64" s="12">
        <f t="shared" si="95"/>
        <v>246</v>
      </c>
      <c r="EL64" s="12">
        <f t="shared" si="96"/>
        <v>172</v>
      </c>
      <c r="EM64" s="12">
        <f t="shared" si="97"/>
        <v>162</v>
      </c>
      <c r="EN64" s="12">
        <f t="shared" si="98"/>
        <v>194</v>
      </c>
      <c r="EO64" s="12">
        <f t="shared" si="99"/>
        <v>152</v>
      </c>
      <c r="EP64" s="12">
        <f t="shared" si="100"/>
        <v>142</v>
      </c>
      <c r="EQ64" s="12">
        <f t="shared" si="101"/>
        <v>132</v>
      </c>
      <c r="ER64" s="12">
        <f t="shared" si="102"/>
        <v>184</v>
      </c>
      <c r="ES64" s="12">
        <f t="shared" si="103"/>
        <v>164</v>
      </c>
      <c r="ET64" s="12">
        <f t="shared" si="104"/>
        <v>122</v>
      </c>
      <c r="EU64" s="12">
        <f t="shared" si="105"/>
        <v>154</v>
      </c>
      <c r="EV64" s="12">
        <f t="shared" si="106"/>
        <v>122</v>
      </c>
      <c r="EW64" s="12">
        <f t="shared" si="107"/>
        <v>102</v>
      </c>
      <c r="EX64" s="12">
        <f t="shared" si="108"/>
        <v>92</v>
      </c>
      <c r="EY64" s="12">
        <f t="shared" si="109"/>
        <v>72</v>
      </c>
      <c r="EZ64" s="12">
        <v>64</v>
      </c>
      <c r="FH64" s="12">
        <v>2600000</v>
      </c>
      <c r="FI64" s="12">
        <v>62</v>
      </c>
      <c r="FJ64" s="12">
        <v>2600000</v>
      </c>
    </row>
    <row r="65" spans="1:166" ht="13.35" customHeight="1" thickBot="1" x14ac:dyDescent="0.25">
      <c r="A65" s="21">
        <f t="shared" si="110"/>
        <v>64</v>
      </c>
      <c r="B65" s="21">
        <v>0</v>
      </c>
      <c r="C65" s="21">
        <f t="shared" si="111"/>
        <v>64</v>
      </c>
      <c r="D65" s="12">
        <v>8</v>
      </c>
      <c r="E65" s="27" t="s">
        <v>415</v>
      </c>
      <c r="J65" s="12">
        <v>5</v>
      </c>
      <c r="T65" s="12">
        <v>5</v>
      </c>
      <c r="U65" s="12">
        <v>5</v>
      </c>
      <c r="AH65" s="12">
        <v>10</v>
      </c>
      <c r="AJ65" s="12">
        <v>5</v>
      </c>
      <c r="AQ65" s="12">
        <v>5</v>
      </c>
      <c r="AY65" s="12">
        <v>5</v>
      </c>
      <c r="CI65" s="12">
        <v>10</v>
      </c>
      <c r="CK65" s="12">
        <v>5</v>
      </c>
      <c r="CO65" s="12">
        <v>5</v>
      </c>
      <c r="CX65" s="12">
        <v>5</v>
      </c>
      <c r="DH65" s="97">
        <v>36</v>
      </c>
      <c r="DI65" s="12" t="s">
        <v>1204</v>
      </c>
      <c r="DJ65" s="12">
        <v>20</v>
      </c>
      <c r="DM65" s="98" t="s">
        <v>1205</v>
      </c>
      <c r="DQ65" s="35">
        <v>62</v>
      </c>
      <c r="DR65" s="32">
        <v>51</v>
      </c>
      <c r="DS65" s="73">
        <v>76</v>
      </c>
      <c r="DT65" s="71">
        <v>25</v>
      </c>
      <c r="DU65" s="21">
        <v>127</v>
      </c>
      <c r="DV65" s="31">
        <f t="shared" si="112"/>
        <v>162</v>
      </c>
      <c r="DW65" s="30">
        <f t="shared" si="113"/>
        <v>246</v>
      </c>
      <c r="DX65" s="36">
        <v>25</v>
      </c>
      <c r="DY65" s="23">
        <v>121</v>
      </c>
      <c r="DZ65" s="12">
        <v>63</v>
      </c>
      <c r="EA65" s="12">
        <f t="shared" si="85"/>
        <v>319</v>
      </c>
      <c r="EB65" s="12">
        <f t="shared" si="86"/>
        <v>322</v>
      </c>
      <c r="EC65" s="12">
        <f t="shared" si="87"/>
        <v>312</v>
      </c>
      <c r="ED65" s="12">
        <f t="shared" si="88"/>
        <v>259</v>
      </c>
      <c r="EE65" s="12">
        <f t="shared" si="89"/>
        <v>216</v>
      </c>
      <c r="EF65" s="12">
        <f t="shared" si="90"/>
        <v>183</v>
      </c>
      <c r="EG65" s="12">
        <f t="shared" si="91"/>
        <v>173</v>
      </c>
      <c r="EH65" s="12">
        <f t="shared" si="92"/>
        <v>173</v>
      </c>
      <c r="EI65" s="12">
        <f t="shared" si="93"/>
        <v>163</v>
      </c>
      <c r="EJ65" s="12">
        <f t="shared" si="94"/>
        <v>153</v>
      </c>
      <c r="EK65" s="12">
        <f t="shared" si="95"/>
        <v>249</v>
      </c>
      <c r="EL65" s="12">
        <f t="shared" si="96"/>
        <v>173</v>
      </c>
      <c r="EM65" s="12">
        <f t="shared" si="97"/>
        <v>163</v>
      </c>
      <c r="EN65" s="12">
        <f t="shared" si="98"/>
        <v>196</v>
      </c>
      <c r="EO65" s="12">
        <f t="shared" si="99"/>
        <v>153</v>
      </c>
      <c r="EP65" s="12">
        <f t="shared" si="100"/>
        <v>143</v>
      </c>
      <c r="EQ65" s="12">
        <f t="shared" si="101"/>
        <v>133</v>
      </c>
      <c r="ER65" s="12">
        <f t="shared" si="102"/>
        <v>186</v>
      </c>
      <c r="ES65" s="12">
        <f t="shared" si="103"/>
        <v>166</v>
      </c>
      <c r="ET65" s="12">
        <f t="shared" si="104"/>
        <v>123</v>
      </c>
      <c r="EU65" s="12">
        <f t="shared" si="105"/>
        <v>156</v>
      </c>
      <c r="EV65" s="12">
        <f t="shared" si="106"/>
        <v>123</v>
      </c>
      <c r="EW65" s="12">
        <f t="shared" si="107"/>
        <v>103</v>
      </c>
      <c r="EX65" s="12">
        <f t="shared" si="108"/>
        <v>93</v>
      </c>
      <c r="EY65" s="12">
        <f t="shared" si="109"/>
        <v>73</v>
      </c>
      <c r="EZ65" s="12">
        <v>65</v>
      </c>
      <c r="FH65" s="12">
        <v>2650000</v>
      </c>
      <c r="FI65" s="12">
        <v>63</v>
      </c>
      <c r="FJ65" s="12">
        <v>2650000</v>
      </c>
    </row>
    <row r="66" spans="1:166" ht="13.35" customHeight="1" thickBot="1" x14ac:dyDescent="0.25">
      <c r="A66" s="21">
        <f t="shared" si="110"/>
        <v>65</v>
      </c>
      <c r="B66" s="21">
        <v>0</v>
      </c>
      <c r="C66" s="21">
        <f t="shared" si="111"/>
        <v>65</v>
      </c>
      <c r="D66" s="12">
        <v>9</v>
      </c>
      <c r="E66" s="27" t="s">
        <v>422</v>
      </c>
      <c r="J66" s="12">
        <v>5</v>
      </c>
      <c r="T66" s="12">
        <v>5</v>
      </c>
      <c r="U66" s="12">
        <v>5</v>
      </c>
      <c r="AH66" s="12">
        <v>10</v>
      </c>
      <c r="AJ66" s="12">
        <v>5</v>
      </c>
      <c r="AQ66" s="12">
        <v>5</v>
      </c>
      <c r="AY66" s="12">
        <v>5</v>
      </c>
      <c r="CI66" s="12">
        <v>5</v>
      </c>
      <c r="CO66" s="12">
        <v>5</v>
      </c>
      <c r="CX66" s="12">
        <v>5</v>
      </c>
      <c r="DH66" s="97">
        <v>46</v>
      </c>
      <c r="DI66" s="12" t="s">
        <v>1216</v>
      </c>
      <c r="DJ66" s="12">
        <v>20</v>
      </c>
      <c r="DK66" s="12">
        <v>1</v>
      </c>
      <c r="DM66" s="98" t="s">
        <v>1217</v>
      </c>
      <c r="DQ66" s="35">
        <v>63</v>
      </c>
      <c r="DR66" s="32">
        <v>52</v>
      </c>
      <c r="DS66" s="73">
        <v>77</v>
      </c>
      <c r="DT66" s="71">
        <v>25</v>
      </c>
      <c r="DU66" s="21">
        <v>128</v>
      </c>
      <c r="DV66" s="31">
        <f t="shared" si="112"/>
        <v>163</v>
      </c>
      <c r="DW66" s="30">
        <f t="shared" si="113"/>
        <v>249</v>
      </c>
      <c r="DX66" s="36">
        <v>25</v>
      </c>
      <c r="DY66" s="23">
        <v>121.5</v>
      </c>
      <c r="DZ66" s="12">
        <v>64</v>
      </c>
      <c r="EA66" s="12">
        <f t="shared" si="85"/>
        <v>322</v>
      </c>
      <c r="EB66" s="12">
        <f t="shared" si="86"/>
        <v>326</v>
      </c>
      <c r="EC66" s="12">
        <f t="shared" si="87"/>
        <v>316</v>
      </c>
      <c r="ED66" s="12">
        <f t="shared" si="88"/>
        <v>262</v>
      </c>
      <c r="EE66" s="12">
        <f t="shared" si="89"/>
        <v>218</v>
      </c>
      <c r="EF66" s="12">
        <f t="shared" si="90"/>
        <v>184</v>
      </c>
      <c r="EG66" s="12">
        <f t="shared" si="91"/>
        <v>174</v>
      </c>
      <c r="EH66" s="12">
        <f t="shared" si="92"/>
        <v>174</v>
      </c>
      <c r="EI66" s="12">
        <f t="shared" si="93"/>
        <v>164</v>
      </c>
      <c r="EJ66" s="12">
        <f t="shared" si="94"/>
        <v>154</v>
      </c>
      <c r="EK66" s="12">
        <f t="shared" si="95"/>
        <v>252</v>
      </c>
      <c r="EL66" s="12">
        <f t="shared" si="96"/>
        <v>174</v>
      </c>
      <c r="EM66" s="12">
        <f t="shared" si="97"/>
        <v>164</v>
      </c>
      <c r="EN66" s="12">
        <f t="shared" si="98"/>
        <v>198</v>
      </c>
      <c r="EO66" s="12">
        <f t="shared" si="99"/>
        <v>154</v>
      </c>
      <c r="EP66" s="12">
        <f t="shared" si="100"/>
        <v>144</v>
      </c>
      <c r="EQ66" s="12">
        <f t="shared" si="101"/>
        <v>134</v>
      </c>
      <c r="ER66" s="12">
        <f t="shared" si="102"/>
        <v>188</v>
      </c>
      <c r="ES66" s="12">
        <f t="shared" si="103"/>
        <v>168</v>
      </c>
      <c r="ET66" s="12">
        <f t="shared" si="104"/>
        <v>124</v>
      </c>
      <c r="EU66" s="12">
        <f t="shared" si="105"/>
        <v>158</v>
      </c>
      <c r="EV66" s="12">
        <f t="shared" si="106"/>
        <v>124</v>
      </c>
      <c r="EW66" s="12">
        <f t="shared" si="107"/>
        <v>104</v>
      </c>
      <c r="EX66" s="12">
        <f t="shared" si="108"/>
        <v>94</v>
      </c>
      <c r="EY66" s="12">
        <f t="shared" si="109"/>
        <v>74</v>
      </c>
      <c r="EZ66" s="12">
        <v>66</v>
      </c>
      <c r="FH66" s="12">
        <v>2700000</v>
      </c>
      <c r="FI66" s="12">
        <v>64</v>
      </c>
      <c r="FJ66" s="12">
        <v>2700000</v>
      </c>
    </row>
    <row r="67" spans="1:166" ht="13.35" customHeight="1" thickBot="1" x14ac:dyDescent="0.25">
      <c r="A67" s="21">
        <f t="shared" ref="A67:A98" si="115">A66+1</f>
        <v>66</v>
      </c>
      <c r="B67" s="21">
        <v>0</v>
      </c>
      <c r="C67" s="21">
        <f t="shared" ref="C67:C91" si="116">C66+1</f>
        <v>66</v>
      </c>
      <c r="D67" s="12">
        <v>10</v>
      </c>
      <c r="E67" s="27" t="s">
        <v>435</v>
      </c>
      <c r="G67" s="12">
        <v>5</v>
      </c>
      <c r="H67" s="12">
        <v>5</v>
      </c>
      <c r="I67" s="12">
        <v>5</v>
      </c>
      <c r="J67" s="12">
        <v>5</v>
      </c>
      <c r="T67" s="12">
        <v>5</v>
      </c>
      <c r="U67" s="12">
        <v>5</v>
      </c>
      <c r="V67" s="12">
        <v>5</v>
      </c>
      <c r="AH67" s="12">
        <v>10</v>
      </c>
      <c r="AJ67" s="12">
        <v>5</v>
      </c>
      <c r="AQ67" s="12">
        <v>5</v>
      </c>
      <c r="AV67" s="12">
        <v>5</v>
      </c>
      <c r="AY67" s="12">
        <v>5</v>
      </c>
      <c r="CX67" s="12">
        <v>5</v>
      </c>
      <c r="DH67" s="97">
        <v>57</v>
      </c>
      <c r="DI67" s="12" t="s">
        <v>1228</v>
      </c>
      <c r="DK67" s="12">
        <v>5</v>
      </c>
      <c r="DM67" s="98" t="s">
        <v>1229</v>
      </c>
      <c r="DQ67" s="35">
        <v>64</v>
      </c>
      <c r="DR67" s="32">
        <v>52</v>
      </c>
      <c r="DS67" s="73">
        <v>77</v>
      </c>
      <c r="DT67" s="71">
        <v>25</v>
      </c>
      <c r="DU67" s="21">
        <v>129</v>
      </c>
      <c r="DV67" s="31">
        <f t="shared" ref="DV67:DV130" si="117">HLOOKUP($B$154,$DZ$1:$EZ$202,$EZ66,0)</f>
        <v>164</v>
      </c>
      <c r="DW67" s="30">
        <f t="shared" si="113"/>
        <v>252</v>
      </c>
      <c r="DX67" s="36">
        <v>25</v>
      </c>
      <c r="DY67" s="23">
        <v>122</v>
      </c>
      <c r="DZ67" s="12">
        <v>65</v>
      </c>
      <c r="EA67" s="12">
        <f t="shared" si="85"/>
        <v>325</v>
      </c>
      <c r="EB67" s="12">
        <f t="shared" si="86"/>
        <v>330</v>
      </c>
      <c r="EC67" s="12">
        <f t="shared" si="87"/>
        <v>320</v>
      </c>
      <c r="ED67" s="12">
        <f t="shared" si="88"/>
        <v>265</v>
      </c>
      <c r="EE67" s="12">
        <f t="shared" si="89"/>
        <v>220</v>
      </c>
      <c r="EF67" s="12">
        <f t="shared" si="90"/>
        <v>185</v>
      </c>
      <c r="EG67" s="12">
        <f t="shared" si="91"/>
        <v>175</v>
      </c>
      <c r="EH67" s="12">
        <f t="shared" si="92"/>
        <v>175</v>
      </c>
      <c r="EI67" s="12">
        <f t="shared" si="93"/>
        <v>165</v>
      </c>
      <c r="EJ67" s="12">
        <f t="shared" si="94"/>
        <v>155</v>
      </c>
      <c r="EK67" s="12">
        <f t="shared" si="95"/>
        <v>255</v>
      </c>
      <c r="EL67" s="12">
        <f t="shared" si="96"/>
        <v>175</v>
      </c>
      <c r="EM67" s="12">
        <f t="shared" si="97"/>
        <v>165</v>
      </c>
      <c r="EN67" s="12">
        <f t="shared" si="98"/>
        <v>200</v>
      </c>
      <c r="EO67" s="12">
        <f t="shared" si="99"/>
        <v>155</v>
      </c>
      <c r="EP67" s="12">
        <f t="shared" si="100"/>
        <v>145</v>
      </c>
      <c r="EQ67" s="12">
        <f t="shared" si="101"/>
        <v>135</v>
      </c>
      <c r="ER67" s="12">
        <f t="shared" si="102"/>
        <v>190</v>
      </c>
      <c r="ES67" s="12">
        <f t="shared" si="103"/>
        <v>170</v>
      </c>
      <c r="ET67" s="12">
        <f t="shared" si="104"/>
        <v>125</v>
      </c>
      <c r="EU67" s="12">
        <f t="shared" si="105"/>
        <v>160</v>
      </c>
      <c r="EV67" s="12">
        <f t="shared" si="106"/>
        <v>125</v>
      </c>
      <c r="EW67" s="12">
        <f t="shared" si="107"/>
        <v>105</v>
      </c>
      <c r="EX67" s="12">
        <f t="shared" si="108"/>
        <v>95</v>
      </c>
      <c r="EY67" s="12">
        <f t="shared" si="109"/>
        <v>75</v>
      </c>
      <c r="EZ67" s="12">
        <v>67</v>
      </c>
      <c r="FH67" s="12">
        <v>2750000</v>
      </c>
      <c r="FI67" s="12">
        <v>65</v>
      </c>
      <c r="FJ67" s="12">
        <v>2750000</v>
      </c>
    </row>
    <row r="68" spans="1:166" ht="13.35" customHeight="1" thickBot="1" x14ac:dyDescent="0.25">
      <c r="A68" s="21">
        <f t="shared" si="115"/>
        <v>67</v>
      </c>
      <c r="B68" s="21">
        <v>0</v>
      </c>
      <c r="C68" s="21">
        <f t="shared" si="116"/>
        <v>67</v>
      </c>
      <c r="D68" s="12">
        <v>11</v>
      </c>
      <c r="E68" s="27" t="s">
        <v>458</v>
      </c>
      <c r="G68" s="12">
        <v>10</v>
      </c>
      <c r="H68" s="12">
        <v>5</v>
      </c>
      <c r="I68" s="12">
        <v>5</v>
      </c>
      <c r="J68" s="12">
        <v>5</v>
      </c>
      <c r="L68" s="12">
        <v>5</v>
      </c>
      <c r="M68" s="12">
        <v>5</v>
      </c>
      <c r="N68" s="12">
        <v>5</v>
      </c>
      <c r="O68" s="12">
        <v>5</v>
      </c>
      <c r="P68" s="12">
        <v>5</v>
      </c>
      <c r="Q68" s="12">
        <v>5</v>
      </c>
      <c r="R68" s="12">
        <v>5</v>
      </c>
      <c r="T68" s="12">
        <v>10</v>
      </c>
      <c r="U68" s="12">
        <v>5</v>
      </c>
      <c r="V68" s="12">
        <v>5</v>
      </c>
      <c r="W68" s="12">
        <v>10</v>
      </c>
      <c r="X68" s="12">
        <v>5</v>
      </c>
      <c r="Y68" s="12">
        <v>10</v>
      </c>
      <c r="AD68" s="12">
        <v>5</v>
      </c>
      <c r="AH68" s="12">
        <v>5</v>
      </c>
      <c r="AK68" s="12">
        <v>5</v>
      </c>
      <c r="AL68" s="12">
        <v>15</v>
      </c>
      <c r="AM68" s="12">
        <v>10</v>
      </c>
      <c r="AP68" s="12">
        <v>5</v>
      </c>
      <c r="AQ68" s="12">
        <v>5</v>
      </c>
      <c r="BB68" s="12">
        <v>10</v>
      </c>
      <c r="BC68" s="12">
        <v>10</v>
      </c>
      <c r="BF68" s="12">
        <v>10</v>
      </c>
      <c r="BG68" s="12">
        <v>10</v>
      </c>
      <c r="BJ68" s="12">
        <v>5</v>
      </c>
      <c r="BL68" s="12">
        <v>5</v>
      </c>
      <c r="BN68" s="12">
        <v>5</v>
      </c>
      <c r="BO68" s="12">
        <v>5</v>
      </c>
      <c r="BR68" s="12">
        <v>5</v>
      </c>
      <c r="BW68" s="12">
        <v>10</v>
      </c>
      <c r="CA68" s="12">
        <v>5</v>
      </c>
      <c r="CC68" s="12">
        <v>5</v>
      </c>
      <c r="CD68" s="12">
        <v>5</v>
      </c>
      <c r="CG68" s="12">
        <v>5</v>
      </c>
      <c r="CJ68" s="12">
        <v>5</v>
      </c>
      <c r="CL68" s="12">
        <v>10</v>
      </c>
      <c r="CN68" s="12">
        <v>10</v>
      </c>
      <c r="CS68" s="12">
        <v>5</v>
      </c>
      <c r="CT68" s="12">
        <v>10</v>
      </c>
      <c r="CU68" s="12">
        <v>5</v>
      </c>
      <c r="CX68" s="12">
        <v>5</v>
      </c>
      <c r="CY68" s="12">
        <v>5</v>
      </c>
      <c r="CZ68" s="12">
        <v>5</v>
      </c>
      <c r="DA68" s="12">
        <v>5</v>
      </c>
      <c r="DH68" s="97">
        <v>71</v>
      </c>
      <c r="DI68" s="12" t="s">
        <v>1240</v>
      </c>
      <c r="DL68" s="12">
        <v>2</v>
      </c>
      <c r="DM68" s="98" t="s">
        <v>1241</v>
      </c>
      <c r="DQ68" s="35">
        <v>65</v>
      </c>
      <c r="DR68" s="32">
        <v>53</v>
      </c>
      <c r="DS68" s="73">
        <v>78</v>
      </c>
      <c r="DT68" s="71">
        <v>25</v>
      </c>
      <c r="DU68" s="21">
        <v>130</v>
      </c>
      <c r="DV68" s="31">
        <f t="shared" si="117"/>
        <v>165</v>
      </c>
      <c r="DW68" s="30">
        <f t="shared" ref="DW68:DW99" si="118">HLOOKUP($B$155,$DZ$1:$FA$202,$EZ67,0)</f>
        <v>255</v>
      </c>
      <c r="DX68" s="36">
        <v>25</v>
      </c>
      <c r="DY68" s="23">
        <v>122.5</v>
      </c>
      <c r="DZ68" s="12">
        <v>66</v>
      </c>
      <c r="EA68" s="12">
        <f t="shared" si="85"/>
        <v>328</v>
      </c>
      <c r="EB68" s="12">
        <f t="shared" si="86"/>
        <v>334</v>
      </c>
      <c r="EC68" s="12">
        <f t="shared" si="87"/>
        <v>324</v>
      </c>
      <c r="ED68" s="12">
        <f t="shared" si="88"/>
        <v>268</v>
      </c>
      <c r="EE68" s="12">
        <f t="shared" si="89"/>
        <v>222</v>
      </c>
      <c r="EF68" s="12">
        <f t="shared" si="90"/>
        <v>186</v>
      </c>
      <c r="EG68" s="12">
        <f t="shared" si="91"/>
        <v>176</v>
      </c>
      <c r="EH68" s="12">
        <f t="shared" si="92"/>
        <v>176</v>
      </c>
      <c r="EI68" s="12">
        <f t="shared" si="93"/>
        <v>166</v>
      </c>
      <c r="EJ68" s="12">
        <f t="shared" si="94"/>
        <v>156</v>
      </c>
      <c r="EK68" s="12">
        <f t="shared" si="95"/>
        <v>258</v>
      </c>
      <c r="EL68" s="12">
        <f t="shared" si="96"/>
        <v>176</v>
      </c>
      <c r="EM68" s="12">
        <f t="shared" si="97"/>
        <v>166</v>
      </c>
      <c r="EN68" s="12">
        <f t="shared" si="98"/>
        <v>202</v>
      </c>
      <c r="EO68" s="12">
        <f t="shared" si="99"/>
        <v>156</v>
      </c>
      <c r="EP68" s="12">
        <f t="shared" si="100"/>
        <v>146</v>
      </c>
      <c r="EQ68" s="12">
        <f t="shared" si="101"/>
        <v>136</v>
      </c>
      <c r="ER68" s="12">
        <f t="shared" si="102"/>
        <v>192</v>
      </c>
      <c r="ES68" s="12">
        <f t="shared" si="103"/>
        <v>172</v>
      </c>
      <c r="ET68" s="12">
        <f t="shared" si="104"/>
        <v>126</v>
      </c>
      <c r="EU68" s="12">
        <f t="shared" si="105"/>
        <v>162</v>
      </c>
      <c r="EV68" s="12">
        <f t="shared" si="106"/>
        <v>126</v>
      </c>
      <c r="EW68" s="12">
        <f t="shared" si="107"/>
        <v>106</v>
      </c>
      <c r="EX68" s="12">
        <f t="shared" si="108"/>
        <v>96</v>
      </c>
      <c r="EY68" s="12">
        <f t="shared" si="109"/>
        <v>76</v>
      </c>
      <c r="EZ68" s="12">
        <v>68</v>
      </c>
      <c r="FH68" s="12">
        <v>2800000</v>
      </c>
      <c r="FI68" s="12">
        <v>66</v>
      </c>
      <c r="FJ68" s="12">
        <v>2800000</v>
      </c>
    </row>
    <row r="69" spans="1:166" ht="13.35" customHeight="1" thickBot="1" x14ac:dyDescent="0.25">
      <c r="A69" s="21">
        <f t="shared" si="115"/>
        <v>68</v>
      </c>
      <c r="B69" s="21">
        <v>0</v>
      </c>
      <c r="C69" s="21">
        <f t="shared" si="116"/>
        <v>68</v>
      </c>
      <c r="D69" s="12">
        <v>12</v>
      </c>
      <c r="E69" s="27" t="s">
        <v>463</v>
      </c>
      <c r="G69" s="12">
        <v>10</v>
      </c>
      <c r="H69" s="12">
        <v>5</v>
      </c>
      <c r="I69" s="12">
        <v>5</v>
      </c>
      <c r="J69" s="12">
        <v>5</v>
      </c>
      <c r="L69" s="12">
        <v>5</v>
      </c>
      <c r="M69" s="12">
        <v>5</v>
      </c>
      <c r="N69" s="12">
        <v>5</v>
      </c>
      <c r="O69" s="12">
        <v>5</v>
      </c>
      <c r="P69" s="12">
        <v>5</v>
      </c>
      <c r="Q69" s="12">
        <v>5</v>
      </c>
      <c r="R69" s="12">
        <v>5</v>
      </c>
      <c r="T69" s="12">
        <v>10</v>
      </c>
      <c r="U69" s="12">
        <v>5</v>
      </c>
      <c r="V69" s="12">
        <v>5</v>
      </c>
      <c r="W69" s="12">
        <v>10</v>
      </c>
      <c r="X69" s="12">
        <v>5</v>
      </c>
      <c r="Y69" s="12">
        <v>10</v>
      </c>
      <c r="AD69" s="12">
        <v>5</v>
      </c>
      <c r="AH69" s="12">
        <v>5</v>
      </c>
      <c r="AK69" s="12">
        <v>5</v>
      </c>
      <c r="AL69" s="12">
        <v>15</v>
      </c>
      <c r="AM69" s="12">
        <v>10</v>
      </c>
      <c r="AP69" s="12">
        <v>5</v>
      </c>
      <c r="AQ69" s="12">
        <v>5</v>
      </c>
      <c r="BB69" s="12">
        <v>10</v>
      </c>
      <c r="BC69" s="12">
        <v>10</v>
      </c>
      <c r="BF69" s="12">
        <v>10</v>
      </c>
      <c r="BG69" s="12">
        <v>10</v>
      </c>
      <c r="BJ69" s="12">
        <v>5</v>
      </c>
      <c r="BL69" s="12">
        <v>5</v>
      </c>
      <c r="BM69" s="12">
        <v>10</v>
      </c>
      <c r="BN69" s="12">
        <v>5</v>
      </c>
      <c r="BO69" s="12">
        <v>5</v>
      </c>
      <c r="BR69" s="12">
        <v>5</v>
      </c>
      <c r="BW69" s="12">
        <v>10</v>
      </c>
      <c r="CA69" s="12">
        <v>5</v>
      </c>
      <c r="CC69" s="12">
        <v>5</v>
      </c>
      <c r="CD69" s="12">
        <v>5</v>
      </c>
      <c r="CG69" s="12">
        <v>5</v>
      </c>
      <c r="CJ69" s="12">
        <v>5</v>
      </c>
      <c r="CL69" s="12">
        <v>10</v>
      </c>
      <c r="CN69" s="12">
        <v>10</v>
      </c>
      <c r="CS69" s="12">
        <v>5</v>
      </c>
      <c r="CT69" s="12">
        <v>10</v>
      </c>
      <c r="CU69" s="12">
        <v>5</v>
      </c>
      <c r="CX69" s="12">
        <v>5</v>
      </c>
      <c r="CY69" s="12">
        <v>5</v>
      </c>
      <c r="CZ69" s="12">
        <v>5</v>
      </c>
      <c r="DA69" s="12">
        <v>5</v>
      </c>
      <c r="DH69" s="97">
        <v>91</v>
      </c>
      <c r="DI69" s="12" t="s">
        <v>1249</v>
      </c>
      <c r="DL69" s="12">
        <v>8</v>
      </c>
      <c r="DM69" s="98" t="s">
        <v>1250</v>
      </c>
      <c r="DQ69" s="35">
        <v>66</v>
      </c>
      <c r="DR69" s="32">
        <v>53</v>
      </c>
      <c r="DS69" s="73">
        <v>78</v>
      </c>
      <c r="DT69" s="71">
        <v>25</v>
      </c>
      <c r="DU69" s="21">
        <v>131</v>
      </c>
      <c r="DV69" s="31">
        <f t="shared" si="117"/>
        <v>166</v>
      </c>
      <c r="DW69" s="30">
        <f t="shared" si="118"/>
        <v>258</v>
      </c>
      <c r="DX69" s="36">
        <v>25</v>
      </c>
      <c r="DY69" s="23">
        <v>123</v>
      </c>
      <c r="DZ69" s="12">
        <v>67</v>
      </c>
      <c r="EA69" s="12">
        <f t="shared" si="85"/>
        <v>331</v>
      </c>
      <c r="EB69" s="12">
        <f t="shared" si="86"/>
        <v>338</v>
      </c>
      <c r="EC69" s="12">
        <f t="shared" si="87"/>
        <v>328</v>
      </c>
      <c r="ED69" s="12">
        <f t="shared" si="88"/>
        <v>271</v>
      </c>
      <c r="EE69" s="12">
        <f t="shared" si="89"/>
        <v>224</v>
      </c>
      <c r="EF69" s="12">
        <f t="shared" si="90"/>
        <v>187</v>
      </c>
      <c r="EG69" s="12">
        <f t="shared" si="91"/>
        <v>177</v>
      </c>
      <c r="EH69" s="12">
        <f t="shared" si="92"/>
        <v>177</v>
      </c>
      <c r="EI69" s="12">
        <f t="shared" si="93"/>
        <v>167</v>
      </c>
      <c r="EJ69" s="12">
        <f t="shared" si="94"/>
        <v>157</v>
      </c>
      <c r="EK69" s="12">
        <f t="shared" si="95"/>
        <v>261</v>
      </c>
      <c r="EL69" s="12">
        <f t="shared" si="96"/>
        <v>177</v>
      </c>
      <c r="EM69" s="12">
        <f t="shared" si="97"/>
        <v>167</v>
      </c>
      <c r="EN69" s="12">
        <f t="shared" si="98"/>
        <v>204</v>
      </c>
      <c r="EO69" s="12">
        <f t="shared" si="99"/>
        <v>157</v>
      </c>
      <c r="EP69" s="12">
        <f t="shared" si="100"/>
        <v>147</v>
      </c>
      <c r="EQ69" s="12">
        <f t="shared" si="101"/>
        <v>137</v>
      </c>
      <c r="ER69" s="12">
        <f t="shared" si="102"/>
        <v>194</v>
      </c>
      <c r="ES69" s="12">
        <f t="shared" si="103"/>
        <v>174</v>
      </c>
      <c r="ET69" s="12">
        <f t="shared" si="104"/>
        <v>127</v>
      </c>
      <c r="EU69" s="12">
        <f t="shared" si="105"/>
        <v>164</v>
      </c>
      <c r="EV69" s="12">
        <f t="shared" si="106"/>
        <v>127</v>
      </c>
      <c r="EW69" s="12">
        <f t="shared" si="107"/>
        <v>107</v>
      </c>
      <c r="EX69" s="12">
        <f t="shared" si="108"/>
        <v>97</v>
      </c>
      <c r="EY69" s="12">
        <f t="shared" si="109"/>
        <v>77</v>
      </c>
      <c r="EZ69" s="12">
        <v>69</v>
      </c>
      <c r="FH69" s="12">
        <v>2850000</v>
      </c>
      <c r="FI69" s="12">
        <v>67</v>
      </c>
      <c r="FJ69" s="12">
        <v>2850000</v>
      </c>
    </row>
    <row r="70" spans="1:166" ht="13.35" customHeight="1" thickBot="1" x14ac:dyDescent="0.25">
      <c r="A70" s="21">
        <f t="shared" si="115"/>
        <v>69</v>
      </c>
      <c r="B70" s="21">
        <v>0</v>
      </c>
      <c r="C70" s="21">
        <f t="shared" si="116"/>
        <v>69</v>
      </c>
      <c r="D70" s="12">
        <v>13</v>
      </c>
      <c r="E70" s="27" t="s">
        <v>473</v>
      </c>
      <c r="G70" s="12">
        <v>10</v>
      </c>
      <c r="H70" s="12">
        <v>5</v>
      </c>
      <c r="I70" s="12">
        <v>5</v>
      </c>
      <c r="J70" s="12">
        <v>5</v>
      </c>
      <c r="L70" s="12">
        <v>5</v>
      </c>
      <c r="M70" s="12">
        <v>5</v>
      </c>
      <c r="N70" s="12">
        <v>5</v>
      </c>
      <c r="O70" s="12">
        <v>5</v>
      </c>
      <c r="P70" s="12">
        <v>5</v>
      </c>
      <c r="Q70" s="12">
        <v>5</v>
      </c>
      <c r="R70" s="12">
        <v>5</v>
      </c>
      <c r="T70" s="12">
        <v>10</v>
      </c>
      <c r="U70" s="12">
        <v>5</v>
      </c>
      <c r="V70" s="12">
        <v>5</v>
      </c>
      <c r="W70" s="12">
        <v>10</v>
      </c>
      <c r="X70" s="12">
        <v>5</v>
      </c>
      <c r="Y70" s="12">
        <v>10</v>
      </c>
      <c r="AD70" s="12">
        <v>5</v>
      </c>
      <c r="AH70" s="12">
        <v>5</v>
      </c>
      <c r="AK70" s="12">
        <v>5</v>
      </c>
      <c r="AL70" s="12">
        <v>15</v>
      </c>
      <c r="AM70" s="12">
        <v>10</v>
      </c>
      <c r="AP70" s="12">
        <v>5</v>
      </c>
      <c r="AQ70" s="12">
        <v>5</v>
      </c>
      <c r="AV70" s="12">
        <v>5</v>
      </c>
      <c r="BB70" s="12">
        <v>10</v>
      </c>
      <c r="BC70" s="12">
        <v>10</v>
      </c>
      <c r="BF70" s="12">
        <v>10</v>
      </c>
      <c r="BG70" s="12">
        <v>10</v>
      </c>
      <c r="BJ70" s="12">
        <v>5</v>
      </c>
      <c r="BL70" s="12">
        <v>5</v>
      </c>
      <c r="BN70" s="12">
        <v>5</v>
      </c>
      <c r="BO70" s="12">
        <v>5</v>
      </c>
      <c r="BR70" s="12">
        <v>5</v>
      </c>
      <c r="BW70" s="12">
        <v>10</v>
      </c>
      <c r="CA70" s="12">
        <v>5</v>
      </c>
      <c r="CC70" s="12">
        <v>5</v>
      </c>
      <c r="CD70" s="12">
        <v>5</v>
      </c>
      <c r="CG70" s="12">
        <v>5</v>
      </c>
      <c r="CJ70" s="12">
        <v>5</v>
      </c>
      <c r="CL70" s="12">
        <v>10</v>
      </c>
      <c r="CN70" s="12">
        <v>10</v>
      </c>
      <c r="CS70" s="12">
        <v>5</v>
      </c>
      <c r="CT70" s="12">
        <v>10</v>
      </c>
      <c r="CU70" s="12">
        <v>5</v>
      </c>
      <c r="CX70" s="12">
        <v>5</v>
      </c>
      <c r="CY70" s="12">
        <v>5</v>
      </c>
      <c r="CZ70" s="12">
        <v>5</v>
      </c>
      <c r="DA70" s="12">
        <v>5</v>
      </c>
      <c r="DH70" s="97">
        <v>93</v>
      </c>
      <c r="DI70" s="12" t="s">
        <v>1249</v>
      </c>
      <c r="DL70" s="12">
        <v>25</v>
      </c>
      <c r="DM70" s="98" t="s">
        <v>3966</v>
      </c>
      <c r="DQ70" s="35">
        <v>67</v>
      </c>
      <c r="DR70" s="32">
        <v>54</v>
      </c>
      <c r="DS70" s="73">
        <v>79</v>
      </c>
      <c r="DT70" s="71">
        <v>25</v>
      </c>
      <c r="DU70" s="21">
        <v>132</v>
      </c>
      <c r="DV70" s="31">
        <f t="shared" si="117"/>
        <v>167</v>
      </c>
      <c r="DW70" s="30">
        <f t="shared" si="118"/>
        <v>261</v>
      </c>
      <c r="DX70" s="36">
        <v>25</v>
      </c>
      <c r="DY70" s="23">
        <v>123.5</v>
      </c>
      <c r="DZ70" s="12">
        <v>68</v>
      </c>
      <c r="EA70" s="12">
        <f t="shared" si="85"/>
        <v>334</v>
      </c>
      <c r="EB70" s="12">
        <f t="shared" si="86"/>
        <v>342</v>
      </c>
      <c r="EC70" s="12">
        <f t="shared" si="87"/>
        <v>332</v>
      </c>
      <c r="ED70" s="12">
        <f t="shared" si="88"/>
        <v>274</v>
      </c>
      <c r="EE70" s="12">
        <f t="shared" si="89"/>
        <v>226</v>
      </c>
      <c r="EF70" s="12">
        <f t="shared" si="90"/>
        <v>188</v>
      </c>
      <c r="EG70" s="12">
        <f t="shared" si="91"/>
        <v>178</v>
      </c>
      <c r="EH70" s="12">
        <f t="shared" si="92"/>
        <v>178</v>
      </c>
      <c r="EI70" s="12">
        <f t="shared" si="93"/>
        <v>168</v>
      </c>
      <c r="EJ70" s="12">
        <f t="shared" si="94"/>
        <v>158</v>
      </c>
      <c r="EK70" s="12">
        <f t="shared" si="95"/>
        <v>264</v>
      </c>
      <c r="EL70" s="12">
        <f t="shared" si="96"/>
        <v>178</v>
      </c>
      <c r="EM70" s="12">
        <f t="shared" si="97"/>
        <v>168</v>
      </c>
      <c r="EN70" s="12">
        <f t="shared" si="98"/>
        <v>206</v>
      </c>
      <c r="EO70" s="12">
        <f t="shared" si="99"/>
        <v>158</v>
      </c>
      <c r="EP70" s="12">
        <f t="shared" si="100"/>
        <v>148</v>
      </c>
      <c r="EQ70" s="12">
        <f t="shared" si="101"/>
        <v>138</v>
      </c>
      <c r="ER70" s="12">
        <f t="shared" si="102"/>
        <v>196</v>
      </c>
      <c r="ES70" s="12">
        <f t="shared" si="103"/>
        <v>176</v>
      </c>
      <c r="ET70" s="12">
        <f t="shared" si="104"/>
        <v>128</v>
      </c>
      <c r="EU70" s="12">
        <f t="shared" si="105"/>
        <v>166</v>
      </c>
      <c r="EV70" s="12">
        <f t="shared" si="106"/>
        <v>128</v>
      </c>
      <c r="EW70" s="12">
        <f t="shared" si="107"/>
        <v>108</v>
      </c>
      <c r="EX70" s="12">
        <f t="shared" si="108"/>
        <v>98</v>
      </c>
      <c r="EY70" s="12">
        <f t="shared" si="109"/>
        <v>78</v>
      </c>
      <c r="EZ70" s="12">
        <v>70</v>
      </c>
      <c r="FH70" s="12">
        <v>2900000</v>
      </c>
      <c r="FI70" s="12">
        <v>68</v>
      </c>
      <c r="FJ70" s="12">
        <v>2900000</v>
      </c>
    </row>
    <row r="71" spans="1:166" ht="13.35" customHeight="1" thickBot="1" x14ac:dyDescent="0.25">
      <c r="A71" s="21">
        <f t="shared" si="115"/>
        <v>70</v>
      </c>
      <c r="B71" s="22">
        <f t="shared" ref="B71:B90" si="119">ROUND((A71-67)/5,0)</f>
        <v>1</v>
      </c>
      <c r="C71" s="21">
        <f t="shared" si="116"/>
        <v>70</v>
      </c>
      <c r="D71" s="12">
        <v>14</v>
      </c>
      <c r="E71" s="27" t="s">
        <v>487</v>
      </c>
      <c r="F71" s="12">
        <v>10</v>
      </c>
      <c r="G71" s="12">
        <v>5</v>
      </c>
      <c r="H71" s="12">
        <v>5</v>
      </c>
      <c r="I71" s="12">
        <v>10</v>
      </c>
      <c r="J71" s="12">
        <v>5</v>
      </c>
      <c r="O71" s="12">
        <v>5</v>
      </c>
      <c r="P71" s="12">
        <v>10</v>
      </c>
      <c r="Q71" s="12">
        <v>10</v>
      </c>
      <c r="T71" s="12">
        <v>5</v>
      </c>
      <c r="U71" s="12">
        <v>10</v>
      </c>
      <c r="V71" s="12">
        <v>5</v>
      </c>
      <c r="W71" s="12">
        <v>5</v>
      </c>
      <c r="X71" s="12">
        <v>5</v>
      </c>
      <c r="Y71" s="12">
        <v>5</v>
      </c>
      <c r="AC71" s="12">
        <v>5</v>
      </c>
      <c r="AD71" s="12">
        <v>5</v>
      </c>
      <c r="AH71" s="12">
        <v>10</v>
      </c>
      <c r="AJ71" s="12">
        <v>10</v>
      </c>
      <c r="AQ71" s="12">
        <v>5</v>
      </c>
      <c r="AS71" s="12">
        <v>5</v>
      </c>
      <c r="CS71" s="12">
        <v>15</v>
      </c>
      <c r="CV71" s="12">
        <v>5</v>
      </c>
      <c r="CX71" s="12">
        <v>5</v>
      </c>
      <c r="DA71" s="12">
        <v>15</v>
      </c>
      <c r="DD71" s="12">
        <v>5</v>
      </c>
      <c r="DH71" s="97">
        <v>95</v>
      </c>
      <c r="DI71" s="12" t="s">
        <v>1253</v>
      </c>
      <c r="DL71" s="12">
        <v>30</v>
      </c>
      <c r="DM71" s="98" t="s">
        <v>3970</v>
      </c>
      <c r="DQ71" s="35">
        <v>68</v>
      </c>
      <c r="DR71" s="32">
        <v>54</v>
      </c>
      <c r="DS71" s="73">
        <v>79</v>
      </c>
      <c r="DT71" s="71">
        <v>25</v>
      </c>
      <c r="DU71" s="21">
        <v>133</v>
      </c>
      <c r="DV71" s="31">
        <f t="shared" si="117"/>
        <v>168</v>
      </c>
      <c r="DW71" s="30">
        <f t="shared" si="118"/>
        <v>264</v>
      </c>
      <c r="DX71" s="36">
        <v>25</v>
      </c>
      <c r="DY71" s="23">
        <v>124</v>
      </c>
      <c r="DZ71" s="12">
        <v>69</v>
      </c>
      <c r="EA71" s="12">
        <f t="shared" si="85"/>
        <v>337</v>
      </c>
      <c r="EB71" s="12">
        <f t="shared" si="86"/>
        <v>346</v>
      </c>
      <c r="EC71" s="12">
        <f t="shared" si="87"/>
        <v>336</v>
      </c>
      <c r="ED71" s="12">
        <f t="shared" si="88"/>
        <v>277</v>
      </c>
      <c r="EE71" s="12">
        <f t="shared" si="89"/>
        <v>228</v>
      </c>
      <c r="EF71" s="12">
        <f t="shared" si="90"/>
        <v>189</v>
      </c>
      <c r="EG71" s="12">
        <f t="shared" si="91"/>
        <v>179</v>
      </c>
      <c r="EH71" s="12">
        <f t="shared" si="92"/>
        <v>179</v>
      </c>
      <c r="EI71" s="12">
        <f t="shared" si="93"/>
        <v>169</v>
      </c>
      <c r="EJ71" s="12">
        <f t="shared" si="94"/>
        <v>159</v>
      </c>
      <c r="EK71" s="12">
        <f t="shared" si="95"/>
        <v>267</v>
      </c>
      <c r="EL71" s="12">
        <f t="shared" si="96"/>
        <v>179</v>
      </c>
      <c r="EM71" s="12">
        <f t="shared" si="97"/>
        <v>169</v>
      </c>
      <c r="EN71" s="12">
        <f t="shared" si="98"/>
        <v>208</v>
      </c>
      <c r="EO71" s="12">
        <f t="shared" si="99"/>
        <v>159</v>
      </c>
      <c r="EP71" s="12">
        <f t="shared" si="100"/>
        <v>149</v>
      </c>
      <c r="EQ71" s="12">
        <f t="shared" si="101"/>
        <v>139</v>
      </c>
      <c r="ER71" s="12">
        <f t="shared" si="102"/>
        <v>198</v>
      </c>
      <c r="ES71" s="12">
        <f t="shared" si="103"/>
        <v>178</v>
      </c>
      <c r="ET71" s="12">
        <f t="shared" si="104"/>
        <v>129</v>
      </c>
      <c r="EU71" s="12">
        <f t="shared" si="105"/>
        <v>168</v>
      </c>
      <c r="EV71" s="12">
        <f t="shared" si="106"/>
        <v>129</v>
      </c>
      <c r="EW71" s="12">
        <f t="shared" si="107"/>
        <v>109</v>
      </c>
      <c r="EX71" s="12">
        <f t="shared" si="108"/>
        <v>99</v>
      </c>
      <c r="EY71" s="12">
        <f t="shared" si="109"/>
        <v>79</v>
      </c>
      <c r="EZ71" s="12">
        <v>71</v>
      </c>
      <c r="FH71" s="12">
        <v>2950000</v>
      </c>
      <c r="FI71" s="12">
        <v>69</v>
      </c>
      <c r="FJ71" s="12">
        <v>2950000</v>
      </c>
    </row>
    <row r="72" spans="1:166" ht="13.35" customHeight="1" thickBot="1" x14ac:dyDescent="0.25">
      <c r="A72" s="21">
        <f t="shared" si="115"/>
        <v>71</v>
      </c>
      <c r="B72" s="22">
        <f t="shared" si="119"/>
        <v>1</v>
      </c>
      <c r="C72" s="21">
        <f t="shared" si="116"/>
        <v>71</v>
      </c>
      <c r="D72" s="12">
        <v>15</v>
      </c>
      <c r="E72" s="27" t="s">
        <v>489</v>
      </c>
      <c r="F72" s="12">
        <v>10</v>
      </c>
      <c r="H72" s="12">
        <v>5</v>
      </c>
      <c r="U72" s="12">
        <v>10</v>
      </c>
      <c r="AH72" s="12">
        <v>10</v>
      </c>
      <c r="AJ72" s="12">
        <v>10</v>
      </c>
      <c r="CV72" s="12">
        <v>15</v>
      </c>
      <c r="DH72" s="97">
        <v>97</v>
      </c>
      <c r="DI72" s="12" t="s">
        <v>1253</v>
      </c>
      <c r="DL72" s="12">
        <v>40</v>
      </c>
      <c r="DM72" s="98" t="s">
        <v>3969</v>
      </c>
      <c r="DQ72" s="35">
        <v>69</v>
      </c>
      <c r="DR72" s="32">
        <v>55</v>
      </c>
      <c r="DS72" s="73">
        <v>80</v>
      </c>
      <c r="DT72" s="71">
        <v>25</v>
      </c>
      <c r="DU72" s="21">
        <v>134</v>
      </c>
      <c r="DV72" s="31">
        <f t="shared" si="117"/>
        <v>169</v>
      </c>
      <c r="DW72" s="30">
        <f t="shared" si="118"/>
        <v>267</v>
      </c>
      <c r="DX72" s="36">
        <v>25</v>
      </c>
      <c r="DY72" s="23">
        <v>124.5</v>
      </c>
      <c r="DZ72" s="20">
        <v>70</v>
      </c>
      <c r="EA72" s="12">
        <f t="shared" si="85"/>
        <v>340</v>
      </c>
      <c r="EB72" s="12">
        <f t="shared" si="86"/>
        <v>350</v>
      </c>
      <c r="EC72" s="12">
        <f t="shared" si="87"/>
        <v>340</v>
      </c>
      <c r="ED72" s="12">
        <f t="shared" si="88"/>
        <v>280</v>
      </c>
      <c r="EE72" s="12">
        <f t="shared" si="89"/>
        <v>230</v>
      </c>
      <c r="EF72" s="12">
        <f t="shared" si="90"/>
        <v>190</v>
      </c>
      <c r="EG72" s="12">
        <f t="shared" si="91"/>
        <v>180</v>
      </c>
      <c r="EH72" s="12">
        <f t="shared" si="92"/>
        <v>180</v>
      </c>
      <c r="EI72" s="12">
        <f t="shared" si="93"/>
        <v>170</v>
      </c>
      <c r="EJ72" s="12">
        <f t="shared" si="94"/>
        <v>160</v>
      </c>
      <c r="EK72" s="12">
        <f t="shared" si="95"/>
        <v>270</v>
      </c>
      <c r="EL72" s="12">
        <f t="shared" si="96"/>
        <v>180</v>
      </c>
      <c r="EM72" s="12">
        <f t="shared" si="97"/>
        <v>170</v>
      </c>
      <c r="EN72" s="12">
        <f t="shared" si="98"/>
        <v>210</v>
      </c>
      <c r="EO72" s="12">
        <f t="shared" si="99"/>
        <v>160</v>
      </c>
      <c r="EP72" s="12">
        <f t="shared" si="100"/>
        <v>150</v>
      </c>
      <c r="EQ72" s="12">
        <f t="shared" si="101"/>
        <v>140</v>
      </c>
      <c r="ER72" s="12">
        <f t="shared" si="102"/>
        <v>200</v>
      </c>
      <c r="ES72" s="12">
        <f t="shared" si="103"/>
        <v>180</v>
      </c>
      <c r="ET72" s="12">
        <f t="shared" si="104"/>
        <v>130</v>
      </c>
      <c r="EU72" s="12">
        <f t="shared" si="105"/>
        <v>170</v>
      </c>
      <c r="EV72" s="12">
        <f t="shared" si="106"/>
        <v>130</v>
      </c>
      <c r="EW72" s="12">
        <f t="shared" si="107"/>
        <v>110</v>
      </c>
      <c r="EX72" s="12">
        <f t="shared" si="108"/>
        <v>100</v>
      </c>
      <c r="EY72" s="12">
        <f t="shared" si="109"/>
        <v>80</v>
      </c>
      <c r="EZ72" s="20">
        <v>72</v>
      </c>
      <c r="FH72" s="12">
        <v>3000000</v>
      </c>
      <c r="FI72" s="12">
        <v>70</v>
      </c>
      <c r="FJ72" s="12">
        <v>3000000</v>
      </c>
    </row>
    <row r="73" spans="1:166" ht="13.35" customHeight="1" thickBot="1" x14ac:dyDescent="0.25">
      <c r="A73" s="21">
        <f t="shared" si="115"/>
        <v>72</v>
      </c>
      <c r="B73" s="22">
        <f t="shared" si="119"/>
        <v>1</v>
      </c>
      <c r="C73" s="21">
        <f t="shared" si="116"/>
        <v>72</v>
      </c>
      <c r="D73" s="12">
        <v>16</v>
      </c>
      <c r="E73" s="27" t="s">
        <v>498</v>
      </c>
      <c r="X73" s="12">
        <v>5</v>
      </c>
      <c r="Y73" s="12">
        <v>5</v>
      </c>
      <c r="AF73" s="12">
        <v>5</v>
      </c>
      <c r="AK73" s="12">
        <v>5</v>
      </c>
      <c r="AT73" s="12">
        <v>10</v>
      </c>
      <c r="BH73" s="12">
        <v>5</v>
      </c>
      <c r="BQ73" s="12">
        <v>10</v>
      </c>
      <c r="BU73" s="12">
        <v>10</v>
      </c>
      <c r="BY73" s="12">
        <v>10</v>
      </c>
      <c r="CB73" s="12">
        <v>10</v>
      </c>
      <c r="CC73" s="12">
        <v>10</v>
      </c>
      <c r="CM73" s="12">
        <v>10</v>
      </c>
      <c r="CT73" s="12">
        <v>5</v>
      </c>
      <c r="CU73" s="12">
        <v>10</v>
      </c>
      <c r="CV73" s="12">
        <v>5</v>
      </c>
      <c r="DH73" s="97">
        <v>99</v>
      </c>
      <c r="DI73" s="12" t="s">
        <v>1256</v>
      </c>
      <c r="DL73" s="12">
        <v>50</v>
      </c>
      <c r="DM73" s="98" t="s">
        <v>3968</v>
      </c>
      <c r="DQ73" s="35">
        <v>70</v>
      </c>
      <c r="DR73" s="32">
        <v>55</v>
      </c>
      <c r="DS73" s="73">
        <v>80</v>
      </c>
      <c r="DT73" s="71">
        <v>25</v>
      </c>
      <c r="DU73" s="21">
        <v>135</v>
      </c>
      <c r="DV73" s="31">
        <f t="shared" si="117"/>
        <v>170</v>
      </c>
      <c r="DW73" s="30">
        <f t="shared" si="118"/>
        <v>270</v>
      </c>
      <c r="DX73" s="36">
        <v>25</v>
      </c>
      <c r="DY73" s="23">
        <v>125</v>
      </c>
      <c r="DZ73" s="12">
        <v>71</v>
      </c>
      <c r="EA73" s="12">
        <f t="shared" si="85"/>
        <v>343</v>
      </c>
      <c r="EB73" s="12">
        <f t="shared" si="86"/>
        <v>354</v>
      </c>
      <c r="EC73" s="12">
        <f t="shared" si="87"/>
        <v>344</v>
      </c>
      <c r="ED73" s="12">
        <f t="shared" si="88"/>
        <v>283</v>
      </c>
      <c r="EE73" s="12">
        <f t="shared" si="89"/>
        <v>232</v>
      </c>
      <c r="EF73" s="12">
        <f t="shared" si="90"/>
        <v>191</v>
      </c>
      <c r="EG73" s="12">
        <f t="shared" si="91"/>
        <v>181</v>
      </c>
      <c r="EH73" s="12">
        <f t="shared" si="92"/>
        <v>181</v>
      </c>
      <c r="EI73" s="12">
        <f t="shared" si="93"/>
        <v>171</v>
      </c>
      <c r="EJ73" s="12">
        <f t="shared" si="94"/>
        <v>161</v>
      </c>
      <c r="EK73" s="12">
        <f t="shared" si="95"/>
        <v>273</v>
      </c>
      <c r="EL73" s="12">
        <f t="shared" si="96"/>
        <v>181</v>
      </c>
      <c r="EM73" s="12">
        <f t="shared" si="97"/>
        <v>171</v>
      </c>
      <c r="EN73" s="12">
        <f t="shared" si="98"/>
        <v>212</v>
      </c>
      <c r="EO73" s="12">
        <f t="shared" si="99"/>
        <v>161</v>
      </c>
      <c r="EP73" s="12">
        <f t="shared" si="100"/>
        <v>151</v>
      </c>
      <c r="EQ73" s="12">
        <f t="shared" si="101"/>
        <v>141</v>
      </c>
      <c r="ER73" s="12">
        <f t="shared" si="102"/>
        <v>202</v>
      </c>
      <c r="ES73" s="12">
        <f t="shared" si="103"/>
        <v>182</v>
      </c>
      <c r="ET73" s="12">
        <f t="shared" si="104"/>
        <v>131</v>
      </c>
      <c r="EU73" s="12">
        <f t="shared" si="105"/>
        <v>172</v>
      </c>
      <c r="EV73" s="12">
        <f t="shared" si="106"/>
        <v>131</v>
      </c>
      <c r="EW73" s="12">
        <f t="shared" si="107"/>
        <v>111</v>
      </c>
      <c r="EX73" s="12">
        <f t="shared" si="108"/>
        <v>101</v>
      </c>
      <c r="EY73" s="12">
        <f t="shared" si="109"/>
        <v>81</v>
      </c>
      <c r="EZ73" s="12">
        <v>73</v>
      </c>
      <c r="FH73" s="12">
        <v>3050000</v>
      </c>
      <c r="FI73" s="12">
        <v>71</v>
      </c>
      <c r="FJ73" s="12">
        <v>3050000</v>
      </c>
    </row>
    <row r="74" spans="1:166" ht="13.35" customHeight="1" thickBot="1" x14ac:dyDescent="0.25">
      <c r="A74" s="21">
        <f t="shared" si="115"/>
        <v>73</v>
      </c>
      <c r="B74" s="22">
        <f t="shared" si="119"/>
        <v>1</v>
      </c>
      <c r="C74" s="21">
        <f t="shared" si="116"/>
        <v>73</v>
      </c>
      <c r="D74" s="12">
        <v>17</v>
      </c>
      <c r="E74" s="27" t="s">
        <v>506</v>
      </c>
      <c r="J74" s="12">
        <v>5</v>
      </c>
      <c r="AS74" s="12">
        <v>5</v>
      </c>
      <c r="AU74" s="12">
        <v>5</v>
      </c>
      <c r="AV74" s="12">
        <v>15</v>
      </c>
      <c r="AZ74" s="12">
        <v>15</v>
      </c>
      <c r="BV74" s="12">
        <v>10</v>
      </c>
      <c r="CX74" s="12">
        <v>5</v>
      </c>
      <c r="DB74" s="12">
        <v>15</v>
      </c>
      <c r="DC74" s="12">
        <v>15</v>
      </c>
      <c r="DD74" s="12">
        <v>15</v>
      </c>
      <c r="DH74" s="99">
        <v>100</v>
      </c>
      <c r="DI74" s="100" t="s">
        <v>1260</v>
      </c>
      <c r="DJ74" s="100"/>
      <c r="DK74" s="100"/>
      <c r="DL74" s="100">
        <v>100</v>
      </c>
      <c r="DM74" s="101" t="s">
        <v>3967</v>
      </c>
      <c r="DQ74" s="35">
        <v>71</v>
      </c>
      <c r="DR74" s="32">
        <v>56</v>
      </c>
      <c r="DS74" s="73">
        <v>81</v>
      </c>
      <c r="DT74" s="71">
        <v>25</v>
      </c>
      <c r="DU74" s="21">
        <v>136</v>
      </c>
      <c r="DV74" s="31">
        <f t="shared" si="117"/>
        <v>171</v>
      </c>
      <c r="DW74" s="30">
        <f t="shared" si="118"/>
        <v>273</v>
      </c>
      <c r="DX74" s="36">
        <v>25</v>
      </c>
      <c r="DY74" s="23">
        <v>125.5</v>
      </c>
      <c r="DZ74" s="12">
        <v>72</v>
      </c>
      <c r="EA74" s="12">
        <f t="shared" si="85"/>
        <v>346</v>
      </c>
      <c r="EB74" s="12">
        <f t="shared" si="86"/>
        <v>358</v>
      </c>
      <c r="EC74" s="12">
        <f t="shared" si="87"/>
        <v>348</v>
      </c>
      <c r="ED74" s="12">
        <f t="shared" si="88"/>
        <v>286</v>
      </c>
      <c r="EE74" s="12">
        <f t="shared" si="89"/>
        <v>234</v>
      </c>
      <c r="EF74" s="12">
        <f t="shared" si="90"/>
        <v>192</v>
      </c>
      <c r="EG74" s="12">
        <f t="shared" si="91"/>
        <v>182</v>
      </c>
      <c r="EH74" s="12">
        <f t="shared" si="92"/>
        <v>182</v>
      </c>
      <c r="EI74" s="12">
        <f t="shared" si="93"/>
        <v>172</v>
      </c>
      <c r="EJ74" s="12">
        <f t="shared" si="94"/>
        <v>162</v>
      </c>
      <c r="EK74" s="12">
        <f t="shared" si="95"/>
        <v>276</v>
      </c>
      <c r="EL74" s="12">
        <f t="shared" si="96"/>
        <v>182</v>
      </c>
      <c r="EM74" s="12">
        <f t="shared" si="97"/>
        <v>172</v>
      </c>
      <c r="EN74" s="12">
        <f t="shared" si="98"/>
        <v>214</v>
      </c>
      <c r="EO74" s="12">
        <f t="shared" si="99"/>
        <v>162</v>
      </c>
      <c r="EP74" s="12">
        <f t="shared" si="100"/>
        <v>152</v>
      </c>
      <c r="EQ74" s="12">
        <f t="shared" si="101"/>
        <v>142</v>
      </c>
      <c r="ER74" s="12">
        <f t="shared" si="102"/>
        <v>204</v>
      </c>
      <c r="ES74" s="12">
        <f t="shared" si="103"/>
        <v>184</v>
      </c>
      <c r="ET74" s="12">
        <f t="shared" si="104"/>
        <v>132</v>
      </c>
      <c r="EU74" s="12">
        <f t="shared" si="105"/>
        <v>174</v>
      </c>
      <c r="EV74" s="12">
        <f t="shared" si="106"/>
        <v>132</v>
      </c>
      <c r="EW74" s="12">
        <f t="shared" si="107"/>
        <v>112</v>
      </c>
      <c r="EX74" s="12">
        <f t="shared" si="108"/>
        <v>102</v>
      </c>
      <c r="EY74" s="12">
        <f t="shared" si="109"/>
        <v>82</v>
      </c>
      <c r="EZ74" s="12">
        <v>74</v>
      </c>
      <c r="FH74" s="12">
        <v>3100000</v>
      </c>
      <c r="FI74" s="12">
        <v>72</v>
      </c>
      <c r="FJ74" s="12">
        <v>3100000</v>
      </c>
    </row>
    <row r="75" spans="1:166" ht="13.35" customHeight="1" thickBot="1" x14ac:dyDescent="0.25">
      <c r="A75" s="21">
        <f t="shared" si="115"/>
        <v>74</v>
      </c>
      <c r="B75" s="22">
        <f t="shared" si="119"/>
        <v>1</v>
      </c>
      <c r="C75" s="21">
        <f t="shared" si="116"/>
        <v>74</v>
      </c>
      <c r="D75" s="12">
        <v>18</v>
      </c>
      <c r="E75" s="27" t="s">
        <v>524</v>
      </c>
      <c r="K75" s="12">
        <v>10</v>
      </c>
      <c r="L75" s="12">
        <v>5</v>
      </c>
      <c r="S75" s="12">
        <v>5</v>
      </c>
      <c r="DQ75" s="35">
        <v>72</v>
      </c>
      <c r="DR75" s="32">
        <v>56</v>
      </c>
      <c r="DS75" s="73">
        <v>81</v>
      </c>
      <c r="DT75" s="71">
        <v>25</v>
      </c>
      <c r="DU75" s="21">
        <v>137</v>
      </c>
      <c r="DV75" s="31">
        <f t="shared" si="117"/>
        <v>172</v>
      </c>
      <c r="DW75" s="30">
        <f t="shared" si="118"/>
        <v>276</v>
      </c>
      <c r="DX75" s="36">
        <v>25</v>
      </c>
      <c r="DY75" s="23">
        <v>126</v>
      </c>
      <c r="DZ75" s="12">
        <v>73</v>
      </c>
      <c r="EA75" s="12">
        <f t="shared" si="85"/>
        <v>349</v>
      </c>
      <c r="EB75" s="12">
        <f t="shared" si="86"/>
        <v>362</v>
      </c>
      <c r="EC75" s="12">
        <f t="shared" si="87"/>
        <v>352</v>
      </c>
      <c r="ED75" s="12">
        <f t="shared" si="88"/>
        <v>289</v>
      </c>
      <c r="EE75" s="12">
        <f t="shared" si="89"/>
        <v>236</v>
      </c>
      <c r="EF75" s="12">
        <f t="shared" si="90"/>
        <v>193</v>
      </c>
      <c r="EG75" s="12">
        <f t="shared" si="91"/>
        <v>183</v>
      </c>
      <c r="EH75" s="12">
        <f t="shared" si="92"/>
        <v>183</v>
      </c>
      <c r="EI75" s="12">
        <f t="shared" si="93"/>
        <v>173</v>
      </c>
      <c r="EJ75" s="12">
        <f t="shared" si="94"/>
        <v>163</v>
      </c>
      <c r="EK75" s="12">
        <f t="shared" si="95"/>
        <v>279</v>
      </c>
      <c r="EL75" s="12">
        <f t="shared" si="96"/>
        <v>183</v>
      </c>
      <c r="EM75" s="12">
        <f t="shared" si="97"/>
        <v>173</v>
      </c>
      <c r="EN75" s="12">
        <f t="shared" si="98"/>
        <v>216</v>
      </c>
      <c r="EO75" s="12">
        <f t="shared" si="99"/>
        <v>163</v>
      </c>
      <c r="EP75" s="12">
        <f t="shared" si="100"/>
        <v>153</v>
      </c>
      <c r="EQ75" s="12">
        <f t="shared" si="101"/>
        <v>143</v>
      </c>
      <c r="ER75" s="12">
        <f t="shared" si="102"/>
        <v>206</v>
      </c>
      <c r="ES75" s="12">
        <f t="shared" si="103"/>
        <v>186</v>
      </c>
      <c r="ET75" s="12">
        <f t="shared" si="104"/>
        <v>133</v>
      </c>
      <c r="EU75" s="12">
        <f t="shared" si="105"/>
        <v>176</v>
      </c>
      <c r="EV75" s="12">
        <f t="shared" si="106"/>
        <v>133</v>
      </c>
      <c r="EW75" s="12">
        <f t="shared" si="107"/>
        <v>113</v>
      </c>
      <c r="EX75" s="12">
        <f t="shared" si="108"/>
        <v>103</v>
      </c>
      <c r="EY75" s="12">
        <f t="shared" si="109"/>
        <v>83</v>
      </c>
      <c r="EZ75" s="12">
        <v>75</v>
      </c>
      <c r="FH75" s="12">
        <v>3150000</v>
      </c>
      <c r="FI75" s="12">
        <v>73</v>
      </c>
      <c r="FJ75" s="12">
        <v>3150000</v>
      </c>
    </row>
    <row r="76" spans="1:166" ht="13.35" customHeight="1" x14ac:dyDescent="0.2">
      <c r="A76" s="21">
        <f t="shared" si="115"/>
        <v>75</v>
      </c>
      <c r="B76" s="22">
        <f t="shared" si="119"/>
        <v>2</v>
      </c>
      <c r="C76" s="21">
        <f t="shared" si="116"/>
        <v>75</v>
      </c>
      <c r="D76" s="12">
        <v>19</v>
      </c>
      <c r="E76" s="27" t="s">
        <v>527</v>
      </c>
      <c r="M76" s="12">
        <v>5</v>
      </c>
      <c r="O76" s="12">
        <v>10</v>
      </c>
      <c r="R76" s="12">
        <v>5</v>
      </c>
      <c r="W76" s="12">
        <v>5</v>
      </c>
      <c r="X76" s="12">
        <v>5</v>
      </c>
      <c r="Y76" s="12">
        <v>5</v>
      </c>
      <c r="AD76" s="12">
        <v>5</v>
      </c>
      <c r="AJ76" s="12">
        <v>5</v>
      </c>
      <c r="AK76" s="12">
        <v>10</v>
      </c>
      <c r="AP76" s="12">
        <v>5</v>
      </c>
      <c r="AQ76" s="12">
        <v>5</v>
      </c>
      <c r="AT76" s="12">
        <v>5</v>
      </c>
      <c r="AW76" s="12">
        <v>5</v>
      </c>
      <c r="AX76" s="12">
        <v>10</v>
      </c>
      <c r="AY76" s="12">
        <v>10</v>
      </c>
      <c r="BA76" s="12">
        <v>10</v>
      </c>
      <c r="BD76" s="12">
        <v>5</v>
      </c>
      <c r="BF76" s="12">
        <v>5</v>
      </c>
      <c r="BG76" s="12">
        <v>10</v>
      </c>
      <c r="BH76" s="12">
        <v>15</v>
      </c>
      <c r="BI76" s="12">
        <v>5</v>
      </c>
      <c r="BJ76" s="12">
        <v>10</v>
      </c>
      <c r="BK76" s="12">
        <v>10</v>
      </c>
      <c r="BL76" s="12">
        <v>10</v>
      </c>
      <c r="BM76" s="12">
        <v>5</v>
      </c>
      <c r="BN76" s="12">
        <v>10</v>
      </c>
      <c r="BO76" s="12">
        <v>10</v>
      </c>
      <c r="BP76" s="12">
        <v>10</v>
      </c>
      <c r="BQ76" s="12">
        <v>10</v>
      </c>
      <c r="BR76" s="12">
        <v>20</v>
      </c>
      <c r="BS76" s="12">
        <v>5</v>
      </c>
      <c r="BT76" s="12">
        <v>10</v>
      </c>
      <c r="BU76" s="12">
        <v>10</v>
      </c>
      <c r="BV76" s="12">
        <v>5</v>
      </c>
      <c r="BW76" s="12">
        <v>10</v>
      </c>
      <c r="BX76" s="12">
        <v>10</v>
      </c>
      <c r="BY76" s="12">
        <v>5</v>
      </c>
      <c r="BZ76" s="12">
        <v>10</v>
      </c>
      <c r="CA76" s="12">
        <v>5</v>
      </c>
      <c r="CB76" s="12">
        <v>5</v>
      </c>
      <c r="CC76" s="12">
        <v>10</v>
      </c>
      <c r="CD76" s="12">
        <v>5</v>
      </c>
      <c r="CE76" s="12">
        <v>5</v>
      </c>
      <c r="CF76" s="12">
        <v>15</v>
      </c>
      <c r="CG76" s="12">
        <v>5</v>
      </c>
      <c r="CH76" s="12">
        <v>10</v>
      </c>
      <c r="CI76" s="12">
        <v>5</v>
      </c>
      <c r="CJ76" s="12">
        <v>5</v>
      </c>
      <c r="CK76" s="12">
        <v>10</v>
      </c>
      <c r="CL76" s="12">
        <v>5</v>
      </c>
      <c r="CM76" s="12">
        <v>15</v>
      </c>
      <c r="CN76" s="12">
        <v>5</v>
      </c>
      <c r="CO76" s="12">
        <v>10</v>
      </c>
      <c r="CP76" s="12">
        <v>5</v>
      </c>
      <c r="CQ76" s="12">
        <v>10</v>
      </c>
      <c r="CY76" s="12">
        <v>5</v>
      </c>
      <c r="DC76" s="12">
        <v>5</v>
      </c>
      <c r="DQ76" s="35">
        <v>73</v>
      </c>
      <c r="DR76" s="32">
        <v>57</v>
      </c>
      <c r="DS76" s="73">
        <v>82</v>
      </c>
      <c r="DT76" s="71">
        <v>25</v>
      </c>
      <c r="DU76" s="21">
        <v>138</v>
      </c>
      <c r="DV76" s="31">
        <f t="shared" si="117"/>
        <v>173</v>
      </c>
      <c r="DW76" s="30">
        <f t="shared" si="118"/>
        <v>279</v>
      </c>
      <c r="DX76" s="36">
        <v>25</v>
      </c>
      <c r="DY76" s="23">
        <v>126.5</v>
      </c>
      <c r="DZ76" s="12">
        <v>74</v>
      </c>
      <c r="EA76" s="12">
        <f t="shared" si="85"/>
        <v>352</v>
      </c>
      <c r="EB76" s="12">
        <f t="shared" si="86"/>
        <v>366</v>
      </c>
      <c r="EC76" s="12">
        <f t="shared" si="87"/>
        <v>356</v>
      </c>
      <c r="ED76" s="12">
        <f t="shared" si="88"/>
        <v>292</v>
      </c>
      <c r="EE76" s="12">
        <f t="shared" si="89"/>
        <v>238</v>
      </c>
      <c r="EF76" s="12">
        <f t="shared" si="90"/>
        <v>194</v>
      </c>
      <c r="EG76" s="12">
        <f t="shared" si="91"/>
        <v>184</v>
      </c>
      <c r="EH76" s="12">
        <f t="shared" si="92"/>
        <v>184</v>
      </c>
      <c r="EI76" s="12">
        <f t="shared" si="93"/>
        <v>174</v>
      </c>
      <c r="EJ76" s="12">
        <f t="shared" si="94"/>
        <v>164</v>
      </c>
      <c r="EK76" s="12">
        <f t="shared" si="95"/>
        <v>282</v>
      </c>
      <c r="EL76" s="12">
        <f t="shared" si="96"/>
        <v>184</v>
      </c>
      <c r="EM76" s="12">
        <f t="shared" si="97"/>
        <v>174</v>
      </c>
      <c r="EN76" s="12">
        <f t="shared" si="98"/>
        <v>218</v>
      </c>
      <c r="EO76" s="12">
        <f t="shared" si="99"/>
        <v>164</v>
      </c>
      <c r="EP76" s="12">
        <f t="shared" si="100"/>
        <v>154</v>
      </c>
      <c r="EQ76" s="12">
        <f t="shared" si="101"/>
        <v>144</v>
      </c>
      <c r="ER76" s="12">
        <f t="shared" si="102"/>
        <v>208</v>
      </c>
      <c r="ES76" s="12">
        <f t="shared" si="103"/>
        <v>188</v>
      </c>
      <c r="ET76" s="12">
        <f t="shared" si="104"/>
        <v>134</v>
      </c>
      <c r="EU76" s="12">
        <f t="shared" si="105"/>
        <v>178</v>
      </c>
      <c r="EV76" s="12">
        <f t="shared" si="106"/>
        <v>134</v>
      </c>
      <c r="EW76" s="12">
        <f t="shared" si="107"/>
        <v>114</v>
      </c>
      <c r="EX76" s="12">
        <f t="shared" si="108"/>
        <v>104</v>
      </c>
      <c r="EY76" s="12">
        <f t="shared" si="109"/>
        <v>84</v>
      </c>
      <c r="EZ76" s="12">
        <v>76</v>
      </c>
      <c r="FH76" s="12">
        <v>3200000</v>
      </c>
      <c r="FI76" s="12">
        <v>74</v>
      </c>
      <c r="FJ76" s="12">
        <v>3200000</v>
      </c>
    </row>
    <row r="77" spans="1:166" ht="13.35" customHeight="1" x14ac:dyDescent="0.2">
      <c r="A77" s="21">
        <f t="shared" si="115"/>
        <v>76</v>
      </c>
      <c r="B77" s="22">
        <f t="shared" si="119"/>
        <v>2</v>
      </c>
      <c r="C77" s="21">
        <f t="shared" si="116"/>
        <v>76</v>
      </c>
      <c r="D77" s="12">
        <v>20</v>
      </c>
      <c r="E77" s="27" t="s">
        <v>537</v>
      </c>
      <c r="X77" s="12">
        <v>10</v>
      </c>
      <c r="AL77" s="12">
        <v>10</v>
      </c>
      <c r="AM77" s="12">
        <v>5</v>
      </c>
      <c r="AS77" s="12">
        <v>10</v>
      </c>
      <c r="AT77" s="12">
        <v>15</v>
      </c>
      <c r="AW77" s="12">
        <v>5</v>
      </c>
      <c r="AX77" s="12">
        <v>10</v>
      </c>
      <c r="BA77" s="12">
        <v>10</v>
      </c>
      <c r="BC77" s="12">
        <v>5</v>
      </c>
      <c r="BE77" s="12">
        <v>5</v>
      </c>
      <c r="BF77" s="12">
        <v>5</v>
      </c>
      <c r="BI77" s="12">
        <v>5</v>
      </c>
      <c r="BJ77" s="12">
        <v>5</v>
      </c>
      <c r="BK77" s="12">
        <v>5</v>
      </c>
      <c r="BL77" s="12">
        <v>10</v>
      </c>
      <c r="BM77" s="12">
        <v>5</v>
      </c>
      <c r="BN77" s="12">
        <v>5</v>
      </c>
      <c r="BO77" s="12">
        <v>10</v>
      </c>
      <c r="BP77" s="12">
        <v>5</v>
      </c>
      <c r="BQ77" s="12">
        <v>10</v>
      </c>
      <c r="BR77" s="12">
        <v>5</v>
      </c>
      <c r="BT77" s="12">
        <v>5</v>
      </c>
      <c r="BU77" s="12">
        <v>5</v>
      </c>
      <c r="BV77" s="12">
        <v>5</v>
      </c>
      <c r="BW77" s="12">
        <v>5</v>
      </c>
      <c r="BX77" s="12">
        <v>10</v>
      </c>
      <c r="BY77" s="12">
        <v>5</v>
      </c>
      <c r="BZ77" s="12">
        <v>5</v>
      </c>
      <c r="CA77" s="12">
        <v>5</v>
      </c>
      <c r="CB77" s="12">
        <v>5</v>
      </c>
      <c r="CC77" s="12">
        <v>5</v>
      </c>
      <c r="CD77" s="12">
        <v>5</v>
      </c>
      <c r="CE77" s="12">
        <v>5</v>
      </c>
      <c r="CF77" s="12">
        <v>5</v>
      </c>
      <c r="CG77" s="12">
        <v>5</v>
      </c>
      <c r="CJ77" s="12">
        <v>10</v>
      </c>
      <c r="CL77" s="12">
        <v>5</v>
      </c>
      <c r="CN77" s="12">
        <v>10</v>
      </c>
      <c r="CQ77" s="12">
        <v>10</v>
      </c>
      <c r="CU77" s="12">
        <v>20</v>
      </c>
      <c r="CV77" s="12">
        <v>5</v>
      </c>
      <c r="DQ77" s="35">
        <v>74</v>
      </c>
      <c r="DR77" s="32">
        <v>57</v>
      </c>
      <c r="DS77" s="73">
        <v>82</v>
      </c>
      <c r="DT77" s="71">
        <v>25</v>
      </c>
      <c r="DU77" s="21">
        <v>139</v>
      </c>
      <c r="DV77" s="31">
        <f t="shared" si="117"/>
        <v>174</v>
      </c>
      <c r="DW77" s="30">
        <f t="shared" si="118"/>
        <v>282</v>
      </c>
      <c r="DX77" s="36">
        <v>25</v>
      </c>
      <c r="DY77" s="23">
        <v>127</v>
      </c>
      <c r="DZ77" s="12">
        <v>75</v>
      </c>
      <c r="EA77" s="12">
        <f t="shared" si="85"/>
        <v>355</v>
      </c>
      <c r="EB77" s="12">
        <f t="shared" si="86"/>
        <v>370</v>
      </c>
      <c r="EC77" s="12">
        <f t="shared" si="87"/>
        <v>360</v>
      </c>
      <c r="ED77" s="12">
        <f t="shared" si="88"/>
        <v>295</v>
      </c>
      <c r="EE77" s="12">
        <f t="shared" si="89"/>
        <v>240</v>
      </c>
      <c r="EF77" s="12">
        <f t="shared" si="90"/>
        <v>195</v>
      </c>
      <c r="EG77" s="12">
        <f t="shared" si="91"/>
        <v>185</v>
      </c>
      <c r="EH77" s="12">
        <f t="shared" si="92"/>
        <v>185</v>
      </c>
      <c r="EI77" s="12">
        <f t="shared" si="93"/>
        <v>175</v>
      </c>
      <c r="EJ77" s="12">
        <f t="shared" si="94"/>
        <v>165</v>
      </c>
      <c r="EK77" s="12">
        <f t="shared" si="95"/>
        <v>285</v>
      </c>
      <c r="EL77" s="12">
        <f t="shared" si="96"/>
        <v>185</v>
      </c>
      <c r="EM77" s="12">
        <f t="shared" si="97"/>
        <v>175</v>
      </c>
      <c r="EN77" s="12">
        <f t="shared" si="98"/>
        <v>220</v>
      </c>
      <c r="EO77" s="12">
        <f t="shared" si="99"/>
        <v>165</v>
      </c>
      <c r="EP77" s="12">
        <f t="shared" si="100"/>
        <v>155</v>
      </c>
      <c r="EQ77" s="12">
        <f t="shared" si="101"/>
        <v>145</v>
      </c>
      <c r="ER77" s="12">
        <f t="shared" si="102"/>
        <v>210</v>
      </c>
      <c r="ES77" s="12">
        <f t="shared" si="103"/>
        <v>190</v>
      </c>
      <c r="ET77" s="12">
        <f t="shared" si="104"/>
        <v>135</v>
      </c>
      <c r="EU77" s="12">
        <f t="shared" si="105"/>
        <v>180</v>
      </c>
      <c r="EV77" s="12">
        <f t="shared" si="106"/>
        <v>135</v>
      </c>
      <c r="EW77" s="12">
        <f t="shared" si="107"/>
        <v>115</v>
      </c>
      <c r="EX77" s="12">
        <f t="shared" si="108"/>
        <v>105</v>
      </c>
      <c r="EY77" s="12">
        <f t="shared" si="109"/>
        <v>85</v>
      </c>
      <c r="EZ77" s="12">
        <v>77</v>
      </c>
      <c r="FH77" s="12">
        <v>3250000</v>
      </c>
      <c r="FI77" s="12">
        <v>75</v>
      </c>
      <c r="FJ77" s="12">
        <v>3250000</v>
      </c>
    </row>
    <row r="78" spans="1:166" ht="13.35" customHeight="1" x14ac:dyDescent="0.2">
      <c r="A78" s="21">
        <f t="shared" si="115"/>
        <v>77</v>
      </c>
      <c r="B78" s="22">
        <f t="shared" si="119"/>
        <v>2</v>
      </c>
      <c r="C78" s="21">
        <f t="shared" si="116"/>
        <v>77</v>
      </c>
      <c r="D78" s="12">
        <v>21</v>
      </c>
      <c r="E78" s="27" t="s">
        <v>550</v>
      </c>
      <c r="K78" s="12">
        <v>10</v>
      </c>
      <c r="L78" s="12">
        <v>10</v>
      </c>
      <c r="M78" s="12">
        <v>5</v>
      </c>
      <c r="N78" s="12">
        <v>5</v>
      </c>
      <c r="O78" s="12">
        <v>5</v>
      </c>
      <c r="P78" s="12">
        <v>5</v>
      </c>
      <c r="Q78" s="12">
        <v>5</v>
      </c>
      <c r="R78" s="12">
        <v>5</v>
      </c>
      <c r="S78" s="12">
        <v>10</v>
      </c>
      <c r="W78" s="12">
        <v>5</v>
      </c>
      <c r="X78" s="12">
        <v>10</v>
      </c>
      <c r="AA78" s="12">
        <v>10</v>
      </c>
      <c r="AB78" s="12">
        <v>10</v>
      </c>
      <c r="AC78" s="12">
        <v>5</v>
      </c>
      <c r="AF78" s="12">
        <v>15</v>
      </c>
      <c r="AG78" s="12">
        <v>10</v>
      </c>
      <c r="AL78" s="12">
        <v>10</v>
      </c>
      <c r="AM78" s="12">
        <v>5</v>
      </c>
      <c r="AO78" s="12">
        <v>10</v>
      </c>
      <c r="AP78" s="12">
        <v>10</v>
      </c>
      <c r="AS78" s="12">
        <v>10</v>
      </c>
      <c r="AT78" s="12">
        <v>15</v>
      </c>
      <c r="AW78" s="12">
        <v>5</v>
      </c>
      <c r="AX78" s="12">
        <v>10</v>
      </c>
      <c r="BA78" s="12">
        <v>10</v>
      </c>
      <c r="BC78" s="12">
        <v>5</v>
      </c>
      <c r="BD78" s="12">
        <v>5</v>
      </c>
      <c r="BE78" s="12">
        <v>5</v>
      </c>
      <c r="BF78" s="12">
        <v>5</v>
      </c>
      <c r="BI78" s="12">
        <v>5</v>
      </c>
      <c r="BJ78" s="12">
        <v>5</v>
      </c>
      <c r="BK78" s="12">
        <v>5</v>
      </c>
      <c r="BL78" s="12">
        <v>10</v>
      </c>
      <c r="BM78" s="12">
        <v>5</v>
      </c>
      <c r="BN78" s="12">
        <v>5</v>
      </c>
      <c r="BO78" s="12">
        <v>10</v>
      </c>
      <c r="BP78" s="12">
        <v>5</v>
      </c>
      <c r="BQ78" s="12">
        <v>10</v>
      </c>
      <c r="BR78" s="12">
        <v>5</v>
      </c>
      <c r="BS78" s="12">
        <v>15</v>
      </c>
      <c r="BT78" s="12">
        <v>5</v>
      </c>
      <c r="BU78" s="12">
        <v>5</v>
      </c>
      <c r="BV78" s="12">
        <v>5</v>
      </c>
      <c r="BW78" s="12">
        <v>5</v>
      </c>
      <c r="BX78" s="12">
        <v>10</v>
      </c>
      <c r="BY78" s="12">
        <v>5</v>
      </c>
      <c r="BZ78" s="12">
        <v>5</v>
      </c>
      <c r="CA78" s="12">
        <v>5</v>
      </c>
      <c r="CB78" s="12">
        <v>5</v>
      </c>
      <c r="CC78" s="12">
        <v>5</v>
      </c>
      <c r="CD78" s="12">
        <v>5</v>
      </c>
      <c r="CE78" s="12">
        <v>5</v>
      </c>
      <c r="CF78" s="12">
        <v>5</v>
      </c>
      <c r="CG78" s="12">
        <v>5</v>
      </c>
      <c r="CJ78" s="12">
        <v>10</v>
      </c>
      <c r="CL78" s="12">
        <v>5</v>
      </c>
      <c r="CQ78" s="12">
        <v>10</v>
      </c>
      <c r="CU78" s="12">
        <v>20</v>
      </c>
      <c r="CV78" s="12">
        <v>5</v>
      </c>
      <c r="CY78" s="12">
        <v>5</v>
      </c>
      <c r="CZ78" s="12">
        <v>5</v>
      </c>
      <c r="DB78" s="12">
        <v>5</v>
      </c>
      <c r="DC78" s="12">
        <v>5</v>
      </c>
      <c r="DD78" s="12">
        <v>5</v>
      </c>
      <c r="DQ78" s="35">
        <v>75</v>
      </c>
      <c r="DR78" s="32">
        <v>58</v>
      </c>
      <c r="DS78" s="73">
        <v>83</v>
      </c>
      <c r="DT78" s="71">
        <v>25</v>
      </c>
      <c r="DU78" s="21">
        <v>140</v>
      </c>
      <c r="DV78" s="31">
        <f t="shared" si="117"/>
        <v>175</v>
      </c>
      <c r="DW78" s="30">
        <f t="shared" si="118"/>
        <v>285</v>
      </c>
      <c r="DX78" s="36">
        <v>25</v>
      </c>
      <c r="DY78" s="23">
        <v>127.5</v>
      </c>
      <c r="DZ78" s="12">
        <v>76</v>
      </c>
      <c r="EA78" s="12">
        <f t="shared" si="85"/>
        <v>358</v>
      </c>
      <c r="EB78" s="12">
        <f t="shared" si="86"/>
        <v>374</v>
      </c>
      <c r="EC78" s="12">
        <f t="shared" si="87"/>
        <v>364</v>
      </c>
      <c r="ED78" s="12">
        <f t="shared" si="88"/>
        <v>298</v>
      </c>
      <c r="EE78" s="12">
        <f t="shared" si="89"/>
        <v>242</v>
      </c>
      <c r="EF78" s="12">
        <f t="shared" si="90"/>
        <v>196</v>
      </c>
      <c r="EG78" s="12">
        <f t="shared" si="91"/>
        <v>186</v>
      </c>
      <c r="EH78" s="12">
        <f t="shared" si="92"/>
        <v>186</v>
      </c>
      <c r="EI78" s="12">
        <f t="shared" si="93"/>
        <v>176</v>
      </c>
      <c r="EJ78" s="12">
        <f t="shared" si="94"/>
        <v>166</v>
      </c>
      <c r="EK78" s="12">
        <f t="shared" si="95"/>
        <v>288</v>
      </c>
      <c r="EL78" s="12">
        <f t="shared" si="96"/>
        <v>186</v>
      </c>
      <c r="EM78" s="12">
        <f t="shared" si="97"/>
        <v>176</v>
      </c>
      <c r="EN78" s="12">
        <f t="shared" si="98"/>
        <v>222</v>
      </c>
      <c r="EO78" s="12">
        <f t="shared" si="99"/>
        <v>166</v>
      </c>
      <c r="EP78" s="12">
        <f t="shared" si="100"/>
        <v>156</v>
      </c>
      <c r="EQ78" s="12">
        <f t="shared" si="101"/>
        <v>146</v>
      </c>
      <c r="ER78" s="12">
        <f t="shared" si="102"/>
        <v>212</v>
      </c>
      <c r="ES78" s="12">
        <f t="shared" si="103"/>
        <v>192</v>
      </c>
      <c r="ET78" s="12">
        <f t="shared" si="104"/>
        <v>136</v>
      </c>
      <c r="EU78" s="12">
        <f t="shared" si="105"/>
        <v>182</v>
      </c>
      <c r="EV78" s="12">
        <f t="shared" si="106"/>
        <v>136</v>
      </c>
      <c r="EW78" s="12">
        <f t="shared" si="107"/>
        <v>116</v>
      </c>
      <c r="EX78" s="12">
        <f t="shared" si="108"/>
        <v>106</v>
      </c>
      <c r="EY78" s="12">
        <f t="shared" si="109"/>
        <v>86</v>
      </c>
      <c r="EZ78" s="12">
        <v>78</v>
      </c>
      <c r="FH78" s="12">
        <v>3300000</v>
      </c>
      <c r="FI78" s="12">
        <v>76</v>
      </c>
      <c r="FJ78" s="12">
        <v>3300000</v>
      </c>
    </row>
    <row r="79" spans="1:166" ht="13.35" customHeight="1" x14ac:dyDescent="0.2">
      <c r="A79" s="21">
        <f t="shared" si="115"/>
        <v>78</v>
      </c>
      <c r="B79" s="22">
        <f t="shared" si="119"/>
        <v>2</v>
      </c>
      <c r="C79" s="21">
        <f t="shared" si="116"/>
        <v>78</v>
      </c>
      <c r="D79" s="12">
        <v>22</v>
      </c>
      <c r="E79" s="27" t="s">
        <v>555</v>
      </c>
      <c r="X79" s="12">
        <v>10</v>
      </c>
      <c r="AC79" s="12">
        <v>5</v>
      </c>
      <c r="AL79" s="12">
        <v>10</v>
      </c>
      <c r="AO79" s="12">
        <v>10</v>
      </c>
      <c r="AS79" s="12">
        <v>10</v>
      </c>
      <c r="AT79" s="12">
        <v>15</v>
      </c>
      <c r="AW79" s="12">
        <v>5</v>
      </c>
      <c r="AX79" s="12">
        <v>10</v>
      </c>
      <c r="BA79" s="12">
        <v>10</v>
      </c>
      <c r="BC79" s="12">
        <v>5</v>
      </c>
      <c r="BE79" s="12">
        <v>5</v>
      </c>
      <c r="BF79" s="12">
        <v>5</v>
      </c>
      <c r="BI79" s="12">
        <v>5</v>
      </c>
      <c r="BJ79" s="12">
        <v>5</v>
      </c>
      <c r="BK79" s="12">
        <v>5</v>
      </c>
      <c r="BL79" s="12">
        <v>10</v>
      </c>
      <c r="BM79" s="12">
        <v>5</v>
      </c>
      <c r="BN79" s="12">
        <v>5</v>
      </c>
      <c r="BO79" s="12">
        <v>10</v>
      </c>
      <c r="BP79" s="12">
        <v>5</v>
      </c>
      <c r="BQ79" s="12">
        <v>10</v>
      </c>
      <c r="BR79" s="12">
        <v>5</v>
      </c>
      <c r="BT79" s="12">
        <v>5</v>
      </c>
      <c r="BU79" s="12">
        <v>5</v>
      </c>
      <c r="BV79" s="12">
        <v>5</v>
      </c>
      <c r="BW79" s="12">
        <v>5</v>
      </c>
      <c r="BX79" s="12">
        <v>10</v>
      </c>
      <c r="BY79" s="12">
        <v>5</v>
      </c>
      <c r="BZ79" s="12">
        <v>5</v>
      </c>
      <c r="CA79" s="12">
        <v>5</v>
      </c>
      <c r="CB79" s="12">
        <v>5</v>
      </c>
      <c r="CC79" s="12">
        <v>5</v>
      </c>
      <c r="CD79" s="12">
        <v>5</v>
      </c>
      <c r="CE79" s="12">
        <v>5</v>
      </c>
      <c r="CF79" s="12">
        <v>5</v>
      </c>
      <c r="CG79" s="12">
        <v>5</v>
      </c>
      <c r="CJ79" s="12">
        <v>10</v>
      </c>
      <c r="CL79" s="12">
        <v>5</v>
      </c>
      <c r="CQ79" s="12">
        <v>10</v>
      </c>
      <c r="CU79" s="12">
        <v>20</v>
      </c>
      <c r="CV79" s="12">
        <v>5</v>
      </c>
      <c r="DB79" s="12">
        <v>5</v>
      </c>
      <c r="DC79" s="12">
        <v>5</v>
      </c>
      <c r="DD79" s="12">
        <v>5</v>
      </c>
      <c r="DQ79" s="35">
        <v>76</v>
      </c>
      <c r="DR79" s="32">
        <v>58</v>
      </c>
      <c r="DS79" s="73">
        <v>83</v>
      </c>
      <c r="DT79" s="71">
        <v>25</v>
      </c>
      <c r="DU79" s="21">
        <v>141</v>
      </c>
      <c r="DV79" s="31">
        <f t="shared" si="117"/>
        <v>176</v>
      </c>
      <c r="DW79" s="30">
        <f t="shared" si="118"/>
        <v>288</v>
      </c>
      <c r="DX79" s="36">
        <v>25</v>
      </c>
      <c r="DY79" s="23">
        <v>128</v>
      </c>
      <c r="DZ79" s="12">
        <v>77</v>
      </c>
      <c r="EA79" s="12">
        <f t="shared" si="85"/>
        <v>361</v>
      </c>
      <c r="EB79" s="12">
        <f t="shared" si="86"/>
        <v>378</v>
      </c>
      <c r="EC79" s="12">
        <f t="shared" si="87"/>
        <v>368</v>
      </c>
      <c r="ED79" s="12">
        <f t="shared" si="88"/>
        <v>301</v>
      </c>
      <c r="EE79" s="12">
        <f t="shared" si="89"/>
        <v>244</v>
      </c>
      <c r="EF79" s="12">
        <f t="shared" si="90"/>
        <v>197</v>
      </c>
      <c r="EG79" s="12">
        <f t="shared" si="91"/>
        <v>187</v>
      </c>
      <c r="EH79" s="12">
        <f t="shared" si="92"/>
        <v>187</v>
      </c>
      <c r="EI79" s="12">
        <f t="shared" si="93"/>
        <v>177</v>
      </c>
      <c r="EJ79" s="12">
        <f t="shared" si="94"/>
        <v>167</v>
      </c>
      <c r="EK79" s="12">
        <f t="shared" si="95"/>
        <v>291</v>
      </c>
      <c r="EL79" s="12">
        <f t="shared" si="96"/>
        <v>187</v>
      </c>
      <c r="EM79" s="12">
        <f t="shared" si="97"/>
        <v>177</v>
      </c>
      <c r="EN79" s="12">
        <f t="shared" si="98"/>
        <v>224</v>
      </c>
      <c r="EO79" s="12">
        <f t="shared" si="99"/>
        <v>167</v>
      </c>
      <c r="EP79" s="12">
        <f t="shared" si="100"/>
        <v>157</v>
      </c>
      <c r="EQ79" s="12">
        <f t="shared" si="101"/>
        <v>147</v>
      </c>
      <c r="ER79" s="12">
        <f t="shared" si="102"/>
        <v>214</v>
      </c>
      <c r="ES79" s="12">
        <f t="shared" si="103"/>
        <v>194</v>
      </c>
      <c r="ET79" s="12">
        <f t="shared" si="104"/>
        <v>137</v>
      </c>
      <c r="EU79" s="12">
        <f t="shared" si="105"/>
        <v>184</v>
      </c>
      <c r="EV79" s="12">
        <f t="shared" si="106"/>
        <v>137</v>
      </c>
      <c r="EW79" s="12">
        <f t="shared" si="107"/>
        <v>117</v>
      </c>
      <c r="EX79" s="12">
        <f t="shared" si="108"/>
        <v>107</v>
      </c>
      <c r="EY79" s="12">
        <f t="shared" si="109"/>
        <v>87</v>
      </c>
      <c r="EZ79" s="12">
        <v>79</v>
      </c>
      <c r="FH79" s="12">
        <v>3350000</v>
      </c>
      <c r="FI79" s="12">
        <v>77</v>
      </c>
      <c r="FJ79" s="12">
        <v>3350000</v>
      </c>
    </row>
    <row r="80" spans="1:166" ht="13.35" customHeight="1" x14ac:dyDescent="0.2">
      <c r="A80" s="21">
        <f t="shared" si="115"/>
        <v>79</v>
      </c>
      <c r="B80" s="22">
        <f t="shared" si="119"/>
        <v>2</v>
      </c>
      <c r="C80" s="21">
        <f t="shared" si="116"/>
        <v>79</v>
      </c>
      <c r="D80" s="12">
        <v>23</v>
      </c>
      <c r="E80" s="27" t="s">
        <v>560</v>
      </c>
      <c r="AL80" s="12">
        <v>10</v>
      </c>
      <c r="AS80" s="12">
        <v>10</v>
      </c>
      <c r="AT80" s="12">
        <v>15</v>
      </c>
      <c r="AW80" s="12">
        <v>5</v>
      </c>
      <c r="AX80" s="12">
        <v>10</v>
      </c>
      <c r="BA80" s="12">
        <v>10</v>
      </c>
      <c r="BC80" s="12">
        <v>5</v>
      </c>
      <c r="BE80" s="12">
        <v>5</v>
      </c>
      <c r="BI80" s="12">
        <v>5</v>
      </c>
      <c r="BJ80" s="12">
        <v>5</v>
      </c>
      <c r="BK80" s="12">
        <v>5</v>
      </c>
      <c r="BL80" s="12">
        <v>10</v>
      </c>
      <c r="BM80" s="12">
        <v>5</v>
      </c>
      <c r="BN80" s="12">
        <v>5</v>
      </c>
      <c r="BO80" s="12">
        <v>10</v>
      </c>
      <c r="BP80" s="12">
        <v>5</v>
      </c>
      <c r="BQ80" s="12">
        <v>10</v>
      </c>
      <c r="BR80" s="12">
        <v>5</v>
      </c>
      <c r="BT80" s="12">
        <v>5</v>
      </c>
      <c r="BU80" s="12">
        <v>5</v>
      </c>
      <c r="BV80" s="12">
        <v>5</v>
      </c>
      <c r="BW80" s="12">
        <v>5</v>
      </c>
      <c r="BX80" s="12">
        <v>10</v>
      </c>
      <c r="BY80" s="12">
        <v>5</v>
      </c>
      <c r="BZ80" s="12">
        <v>5</v>
      </c>
      <c r="CA80" s="12">
        <v>5</v>
      </c>
      <c r="CB80" s="12">
        <v>5</v>
      </c>
      <c r="CC80" s="12">
        <v>5</v>
      </c>
      <c r="CD80" s="12">
        <v>5</v>
      </c>
      <c r="CE80" s="12">
        <v>5</v>
      </c>
      <c r="CF80" s="12">
        <v>5</v>
      </c>
      <c r="CG80" s="12">
        <v>5</v>
      </c>
      <c r="CJ80" s="12">
        <v>10</v>
      </c>
      <c r="CL80" s="12">
        <v>5</v>
      </c>
      <c r="CQ80" s="12">
        <v>10</v>
      </c>
      <c r="CU80" s="12">
        <v>20</v>
      </c>
      <c r="CV80" s="12">
        <v>5</v>
      </c>
      <c r="DB80" s="12">
        <v>5</v>
      </c>
      <c r="DQ80" s="35">
        <v>77</v>
      </c>
      <c r="DR80" s="32">
        <v>59</v>
      </c>
      <c r="DS80" s="73">
        <v>84</v>
      </c>
      <c r="DT80" s="71">
        <v>25</v>
      </c>
      <c r="DU80" s="21">
        <v>142</v>
      </c>
      <c r="DV80" s="31">
        <f t="shared" si="117"/>
        <v>177</v>
      </c>
      <c r="DW80" s="30">
        <f t="shared" si="118"/>
        <v>291</v>
      </c>
      <c r="DX80" s="36">
        <v>25</v>
      </c>
      <c r="DY80" s="23">
        <v>128.5</v>
      </c>
      <c r="DZ80" s="12">
        <v>78</v>
      </c>
      <c r="EA80" s="12">
        <f t="shared" si="85"/>
        <v>364</v>
      </c>
      <c r="EB80" s="12">
        <f t="shared" si="86"/>
        <v>382</v>
      </c>
      <c r="EC80" s="12">
        <f t="shared" si="87"/>
        <v>372</v>
      </c>
      <c r="ED80" s="12">
        <f t="shared" si="88"/>
        <v>304</v>
      </c>
      <c r="EE80" s="12">
        <f t="shared" si="89"/>
        <v>246</v>
      </c>
      <c r="EF80" s="12">
        <f t="shared" si="90"/>
        <v>198</v>
      </c>
      <c r="EG80" s="12">
        <f t="shared" si="91"/>
        <v>188</v>
      </c>
      <c r="EH80" s="12">
        <f t="shared" si="92"/>
        <v>188</v>
      </c>
      <c r="EI80" s="12">
        <f t="shared" si="93"/>
        <v>178</v>
      </c>
      <c r="EJ80" s="12">
        <f t="shared" si="94"/>
        <v>168</v>
      </c>
      <c r="EK80" s="12">
        <f t="shared" si="95"/>
        <v>294</v>
      </c>
      <c r="EL80" s="12">
        <f t="shared" si="96"/>
        <v>188</v>
      </c>
      <c r="EM80" s="12">
        <f t="shared" si="97"/>
        <v>178</v>
      </c>
      <c r="EN80" s="12">
        <f t="shared" si="98"/>
        <v>226</v>
      </c>
      <c r="EO80" s="12">
        <f t="shared" si="99"/>
        <v>168</v>
      </c>
      <c r="EP80" s="12">
        <f t="shared" si="100"/>
        <v>158</v>
      </c>
      <c r="EQ80" s="12">
        <f t="shared" si="101"/>
        <v>148</v>
      </c>
      <c r="ER80" s="12">
        <f t="shared" si="102"/>
        <v>216</v>
      </c>
      <c r="ES80" s="12">
        <f t="shared" si="103"/>
        <v>196</v>
      </c>
      <c r="ET80" s="12">
        <f t="shared" si="104"/>
        <v>138</v>
      </c>
      <c r="EU80" s="12">
        <f t="shared" si="105"/>
        <v>186</v>
      </c>
      <c r="EV80" s="12">
        <f t="shared" si="106"/>
        <v>138</v>
      </c>
      <c r="EW80" s="12">
        <f t="shared" si="107"/>
        <v>118</v>
      </c>
      <c r="EX80" s="12">
        <f t="shared" si="108"/>
        <v>108</v>
      </c>
      <c r="EY80" s="12">
        <f t="shared" si="109"/>
        <v>88</v>
      </c>
      <c r="EZ80" s="12">
        <v>80</v>
      </c>
      <c r="FH80" s="12">
        <v>3400000</v>
      </c>
      <c r="FI80" s="12">
        <v>78</v>
      </c>
      <c r="FJ80" s="12">
        <v>3400000</v>
      </c>
    </row>
    <row r="81" spans="1:166" ht="13.35" customHeight="1" x14ac:dyDescent="0.2">
      <c r="A81" s="21">
        <f t="shared" si="115"/>
        <v>80</v>
      </c>
      <c r="B81" s="22">
        <f t="shared" si="119"/>
        <v>3</v>
      </c>
      <c r="C81" s="21">
        <f t="shared" si="116"/>
        <v>80</v>
      </c>
      <c r="D81" s="12">
        <v>24</v>
      </c>
      <c r="E81" s="27" t="s">
        <v>567</v>
      </c>
      <c r="I81" s="12">
        <v>15</v>
      </c>
      <c r="V81" s="12">
        <v>10</v>
      </c>
      <c r="CV81" s="12">
        <v>5</v>
      </c>
      <c r="DQ81" s="35">
        <v>78</v>
      </c>
      <c r="DR81" s="32">
        <v>59</v>
      </c>
      <c r="DS81" s="73">
        <v>84</v>
      </c>
      <c r="DT81" s="71">
        <v>25</v>
      </c>
      <c r="DU81" s="21">
        <v>143</v>
      </c>
      <c r="DV81" s="31">
        <f t="shared" si="117"/>
        <v>178</v>
      </c>
      <c r="DW81" s="30">
        <f t="shared" si="118"/>
        <v>294</v>
      </c>
      <c r="DX81" s="36">
        <v>25</v>
      </c>
      <c r="DY81" s="23">
        <v>129</v>
      </c>
      <c r="DZ81" s="12">
        <v>79</v>
      </c>
      <c r="EA81" s="12">
        <f t="shared" si="85"/>
        <v>367</v>
      </c>
      <c r="EB81" s="12">
        <f t="shared" si="86"/>
        <v>386</v>
      </c>
      <c r="EC81" s="12">
        <f t="shared" si="87"/>
        <v>376</v>
      </c>
      <c r="ED81" s="12">
        <f t="shared" si="88"/>
        <v>307</v>
      </c>
      <c r="EE81" s="12">
        <f t="shared" si="89"/>
        <v>248</v>
      </c>
      <c r="EF81" s="12">
        <f t="shared" si="90"/>
        <v>199</v>
      </c>
      <c r="EG81" s="12">
        <f t="shared" si="91"/>
        <v>189</v>
      </c>
      <c r="EH81" s="12">
        <f t="shared" si="92"/>
        <v>189</v>
      </c>
      <c r="EI81" s="12">
        <f t="shared" si="93"/>
        <v>179</v>
      </c>
      <c r="EJ81" s="12">
        <f t="shared" si="94"/>
        <v>169</v>
      </c>
      <c r="EK81" s="12">
        <f t="shared" si="95"/>
        <v>297</v>
      </c>
      <c r="EL81" s="12">
        <f t="shared" si="96"/>
        <v>189</v>
      </c>
      <c r="EM81" s="12">
        <f t="shared" si="97"/>
        <v>179</v>
      </c>
      <c r="EN81" s="12">
        <f t="shared" si="98"/>
        <v>228</v>
      </c>
      <c r="EO81" s="12">
        <f t="shared" si="99"/>
        <v>169</v>
      </c>
      <c r="EP81" s="12">
        <f t="shared" si="100"/>
        <v>159</v>
      </c>
      <c r="EQ81" s="12">
        <f t="shared" si="101"/>
        <v>149</v>
      </c>
      <c r="ER81" s="12">
        <f t="shared" si="102"/>
        <v>218</v>
      </c>
      <c r="ES81" s="12">
        <f t="shared" si="103"/>
        <v>198</v>
      </c>
      <c r="ET81" s="12">
        <f t="shared" si="104"/>
        <v>139</v>
      </c>
      <c r="EU81" s="12">
        <f t="shared" si="105"/>
        <v>188</v>
      </c>
      <c r="EV81" s="12">
        <f t="shared" si="106"/>
        <v>139</v>
      </c>
      <c r="EW81" s="12">
        <f t="shared" si="107"/>
        <v>119</v>
      </c>
      <c r="EX81" s="12">
        <f t="shared" si="108"/>
        <v>109</v>
      </c>
      <c r="EY81" s="12">
        <f t="shared" si="109"/>
        <v>89</v>
      </c>
      <c r="EZ81" s="12">
        <v>81</v>
      </c>
      <c r="FH81" s="12">
        <v>3450000</v>
      </c>
      <c r="FI81" s="12">
        <v>79</v>
      </c>
      <c r="FJ81" s="12">
        <v>3450000</v>
      </c>
    </row>
    <row r="82" spans="1:166" ht="13.35" customHeight="1" x14ac:dyDescent="0.2">
      <c r="A82" s="21">
        <f t="shared" si="115"/>
        <v>81</v>
      </c>
      <c r="B82" s="22">
        <f t="shared" si="119"/>
        <v>3</v>
      </c>
      <c r="C82" s="21">
        <f t="shared" si="116"/>
        <v>81</v>
      </c>
      <c r="D82" s="12">
        <v>25</v>
      </c>
      <c r="E82" s="27" t="s">
        <v>574</v>
      </c>
      <c r="I82" s="12">
        <v>15</v>
      </c>
      <c r="V82" s="12">
        <v>10</v>
      </c>
      <c r="CV82" s="12">
        <v>5</v>
      </c>
      <c r="DQ82" s="35">
        <v>79</v>
      </c>
      <c r="DR82" s="32">
        <v>60</v>
      </c>
      <c r="DS82" s="73">
        <v>85</v>
      </c>
      <c r="DT82" s="71">
        <v>25</v>
      </c>
      <c r="DU82" s="21">
        <v>144</v>
      </c>
      <c r="DV82" s="31">
        <f t="shared" si="117"/>
        <v>179</v>
      </c>
      <c r="DW82" s="30">
        <f t="shared" si="118"/>
        <v>297</v>
      </c>
      <c r="DX82" s="36">
        <v>25</v>
      </c>
      <c r="DY82" s="23">
        <v>129.5</v>
      </c>
      <c r="DZ82" s="20">
        <v>80</v>
      </c>
      <c r="EA82" s="12">
        <f t="shared" si="85"/>
        <v>370</v>
      </c>
      <c r="EB82" s="12">
        <f t="shared" si="86"/>
        <v>390</v>
      </c>
      <c r="EC82" s="12">
        <f t="shared" si="87"/>
        <v>380</v>
      </c>
      <c r="ED82" s="12">
        <f t="shared" si="88"/>
        <v>310</v>
      </c>
      <c r="EE82" s="12">
        <f t="shared" si="89"/>
        <v>250</v>
      </c>
      <c r="EF82" s="12">
        <f t="shared" si="90"/>
        <v>200</v>
      </c>
      <c r="EG82" s="12">
        <f t="shared" si="91"/>
        <v>190</v>
      </c>
      <c r="EH82" s="12">
        <f t="shared" si="92"/>
        <v>190</v>
      </c>
      <c r="EI82" s="12">
        <f t="shared" si="93"/>
        <v>180</v>
      </c>
      <c r="EJ82" s="12">
        <f t="shared" si="94"/>
        <v>170</v>
      </c>
      <c r="EK82" s="12">
        <f t="shared" si="95"/>
        <v>300</v>
      </c>
      <c r="EL82" s="12">
        <f t="shared" si="96"/>
        <v>190</v>
      </c>
      <c r="EM82" s="12">
        <f t="shared" si="97"/>
        <v>180</v>
      </c>
      <c r="EN82" s="12">
        <f t="shared" si="98"/>
        <v>230</v>
      </c>
      <c r="EO82" s="12">
        <f t="shared" si="99"/>
        <v>170</v>
      </c>
      <c r="EP82" s="12">
        <f t="shared" si="100"/>
        <v>160</v>
      </c>
      <c r="EQ82" s="12">
        <f t="shared" si="101"/>
        <v>150</v>
      </c>
      <c r="ER82" s="12">
        <f t="shared" si="102"/>
        <v>220</v>
      </c>
      <c r="ES82" s="12">
        <f t="shared" si="103"/>
        <v>200</v>
      </c>
      <c r="ET82" s="12">
        <f t="shared" si="104"/>
        <v>140</v>
      </c>
      <c r="EU82" s="12">
        <f t="shared" si="105"/>
        <v>190</v>
      </c>
      <c r="EV82" s="12">
        <f t="shared" si="106"/>
        <v>140</v>
      </c>
      <c r="EW82" s="12">
        <f t="shared" si="107"/>
        <v>120</v>
      </c>
      <c r="EX82" s="12">
        <f t="shared" si="108"/>
        <v>110</v>
      </c>
      <c r="EY82" s="12">
        <f t="shared" si="109"/>
        <v>90</v>
      </c>
      <c r="EZ82" s="20">
        <v>82</v>
      </c>
      <c r="FH82" s="12">
        <v>3500000</v>
      </c>
      <c r="FI82" s="12">
        <v>80</v>
      </c>
      <c r="FJ82" s="12">
        <v>3500000</v>
      </c>
    </row>
    <row r="83" spans="1:166" ht="13.35" customHeight="1" x14ac:dyDescent="0.2">
      <c r="A83" s="21">
        <f t="shared" si="115"/>
        <v>82</v>
      </c>
      <c r="B83" s="22">
        <f t="shared" si="119"/>
        <v>3</v>
      </c>
      <c r="C83" s="21">
        <f t="shared" si="116"/>
        <v>82</v>
      </c>
      <c r="D83" s="12">
        <v>26</v>
      </c>
      <c r="E83" s="27" t="s">
        <v>581</v>
      </c>
      <c r="J83" s="12">
        <v>5</v>
      </c>
      <c r="M83" s="12">
        <v>5</v>
      </c>
      <c r="N83" s="12">
        <v>20</v>
      </c>
      <c r="T83" s="12">
        <v>20</v>
      </c>
      <c r="AS83" s="12">
        <v>5</v>
      </c>
      <c r="AU83" s="12">
        <v>15</v>
      </c>
      <c r="BH83" s="12">
        <v>5</v>
      </c>
      <c r="BM83" s="12">
        <v>10</v>
      </c>
      <c r="BZ83" s="12">
        <v>15</v>
      </c>
      <c r="CG83" s="12">
        <v>15</v>
      </c>
      <c r="CN83" s="12">
        <v>5</v>
      </c>
      <c r="CS83" s="12">
        <v>10</v>
      </c>
      <c r="CT83" s="12">
        <v>10</v>
      </c>
      <c r="CX83" s="12">
        <v>10</v>
      </c>
      <c r="CZ83" s="12">
        <v>20</v>
      </c>
      <c r="DA83" s="12">
        <v>10</v>
      </c>
      <c r="DQ83" s="35">
        <v>80</v>
      </c>
      <c r="DR83" s="32">
        <v>60</v>
      </c>
      <c r="DS83" s="73">
        <v>85</v>
      </c>
      <c r="DT83" s="71">
        <v>25</v>
      </c>
      <c r="DU83" s="21">
        <v>145</v>
      </c>
      <c r="DV83" s="31">
        <f t="shared" si="117"/>
        <v>180</v>
      </c>
      <c r="DW83" s="30">
        <f t="shared" si="118"/>
        <v>300</v>
      </c>
      <c r="DX83" s="36">
        <v>25</v>
      </c>
      <c r="DY83" s="23">
        <v>130</v>
      </c>
      <c r="DZ83" s="12">
        <v>81</v>
      </c>
      <c r="EA83" s="12">
        <f t="shared" si="85"/>
        <v>373</v>
      </c>
      <c r="EB83" s="12">
        <f t="shared" si="86"/>
        <v>394</v>
      </c>
      <c r="EC83" s="12">
        <f t="shared" si="87"/>
        <v>384</v>
      </c>
      <c r="ED83" s="12">
        <f t="shared" si="88"/>
        <v>313</v>
      </c>
      <c r="EE83" s="12">
        <f t="shared" si="89"/>
        <v>252</v>
      </c>
      <c r="EF83" s="12">
        <f t="shared" si="90"/>
        <v>201</v>
      </c>
      <c r="EG83" s="12">
        <f t="shared" si="91"/>
        <v>191</v>
      </c>
      <c r="EH83" s="12">
        <f t="shared" si="92"/>
        <v>191</v>
      </c>
      <c r="EI83" s="12">
        <f t="shared" si="93"/>
        <v>181</v>
      </c>
      <c r="EJ83" s="12">
        <f t="shared" si="94"/>
        <v>171</v>
      </c>
      <c r="EK83" s="12">
        <f t="shared" si="95"/>
        <v>303</v>
      </c>
      <c r="EL83" s="12">
        <f t="shared" si="96"/>
        <v>191</v>
      </c>
      <c r="EM83" s="12">
        <f t="shared" si="97"/>
        <v>181</v>
      </c>
      <c r="EN83" s="12">
        <f t="shared" si="98"/>
        <v>232</v>
      </c>
      <c r="EO83" s="12">
        <f t="shared" si="99"/>
        <v>171</v>
      </c>
      <c r="EP83" s="12">
        <f t="shared" si="100"/>
        <v>161</v>
      </c>
      <c r="EQ83" s="12">
        <f t="shared" si="101"/>
        <v>151</v>
      </c>
      <c r="ER83" s="12">
        <f t="shared" si="102"/>
        <v>222</v>
      </c>
      <c r="ES83" s="12">
        <f t="shared" si="103"/>
        <v>202</v>
      </c>
      <c r="ET83" s="12">
        <f t="shared" si="104"/>
        <v>141</v>
      </c>
      <c r="EU83" s="12">
        <f t="shared" si="105"/>
        <v>192</v>
      </c>
      <c r="EV83" s="12">
        <f t="shared" si="106"/>
        <v>141</v>
      </c>
      <c r="EW83" s="12">
        <f t="shared" si="107"/>
        <v>121</v>
      </c>
      <c r="EX83" s="12">
        <f t="shared" si="108"/>
        <v>111</v>
      </c>
      <c r="EY83" s="12">
        <f t="shared" si="109"/>
        <v>91</v>
      </c>
      <c r="EZ83" s="12">
        <v>83</v>
      </c>
      <c r="FH83" s="12">
        <v>3550000</v>
      </c>
      <c r="FI83" s="12">
        <v>81</v>
      </c>
      <c r="FJ83" s="12">
        <v>3550000</v>
      </c>
    </row>
    <row r="84" spans="1:166" ht="13.35" customHeight="1" x14ac:dyDescent="0.2">
      <c r="A84" s="21">
        <f t="shared" si="115"/>
        <v>83</v>
      </c>
      <c r="B84" s="22">
        <f t="shared" si="119"/>
        <v>3</v>
      </c>
      <c r="C84" s="21">
        <f t="shared" si="116"/>
        <v>83</v>
      </c>
      <c r="D84" s="12">
        <v>27</v>
      </c>
      <c r="E84" s="27" t="s">
        <v>588</v>
      </c>
      <c r="J84" s="12">
        <v>5</v>
      </c>
      <c r="M84" s="12">
        <v>5</v>
      </c>
      <c r="N84" s="12">
        <v>20</v>
      </c>
      <c r="T84" s="12">
        <v>20</v>
      </c>
      <c r="AM84" s="12">
        <v>5</v>
      </c>
      <c r="AS84" s="12">
        <v>15</v>
      </c>
      <c r="AU84" s="12">
        <v>10</v>
      </c>
      <c r="BA84" s="12">
        <v>5</v>
      </c>
      <c r="BX84" s="12">
        <v>5</v>
      </c>
      <c r="BZ84" s="12">
        <v>15</v>
      </c>
      <c r="CA84" s="12">
        <v>15</v>
      </c>
      <c r="CG84" s="12">
        <v>15</v>
      </c>
      <c r="CH84" s="12">
        <v>15</v>
      </c>
      <c r="CK84" s="12">
        <v>5</v>
      </c>
      <c r="CN84" s="12">
        <v>10</v>
      </c>
      <c r="CP84" s="12">
        <v>10</v>
      </c>
      <c r="CS84" s="12">
        <v>10</v>
      </c>
      <c r="CT84" s="12">
        <v>10</v>
      </c>
      <c r="CX84" s="12">
        <v>10</v>
      </c>
      <c r="CZ84" s="12">
        <v>20</v>
      </c>
      <c r="DA84" s="12">
        <v>10</v>
      </c>
      <c r="DQ84" s="35">
        <v>81</v>
      </c>
      <c r="DR84" s="32">
        <v>61</v>
      </c>
      <c r="DS84" s="73">
        <v>86</v>
      </c>
      <c r="DT84" s="71">
        <v>25</v>
      </c>
      <c r="DU84" s="21">
        <v>146</v>
      </c>
      <c r="DV84" s="31">
        <f t="shared" si="117"/>
        <v>181</v>
      </c>
      <c r="DW84" s="30">
        <f t="shared" si="118"/>
        <v>303</v>
      </c>
      <c r="DX84" s="36">
        <v>25</v>
      </c>
      <c r="DY84" s="23">
        <v>130.5</v>
      </c>
      <c r="DZ84" s="12">
        <v>82</v>
      </c>
      <c r="EA84" s="12">
        <f t="shared" si="85"/>
        <v>376</v>
      </c>
      <c r="EB84" s="12">
        <f t="shared" si="86"/>
        <v>398</v>
      </c>
      <c r="EC84" s="12">
        <f t="shared" si="87"/>
        <v>388</v>
      </c>
      <c r="ED84" s="12">
        <f t="shared" si="88"/>
        <v>316</v>
      </c>
      <c r="EE84" s="12">
        <f t="shared" si="89"/>
        <v>254</v>
      </c>
      <c r="EF84" s="12">
        <f t="shared" si="90"/>
        <v>202</v>
      </c>
      <c r="EG84" s="12">
        <f t="shared" si="91"/>
        <v>192</v>
      </c>
      <c r="EH84" s="12">
        <f t="shared" si="92"/>
        <v>192</v>
      </c>
      <c r="EI84" s="12">
        <f t="shared" si="93"/>
        <v>182</v>
      </c>
      <c r="EJ84" s="12">
        <f t="shared" si="94"/>
        <v>172</v>
      </c>
      <c r="EK84" s="12">
        <f t="shared" si="95"/>
        <v>306</v>
      </c>
      <c r="EL84" s="12">
        <f t="shared" si="96"/>
        <v>192</v>
      </c>
      <c r="EM84" s="12">
        <f t="shared" si="97"/>
        <v>182</v>
      </c>
      <c r="EN84" s="12">
        <f t="shared" si="98"/>
        <v>234</v>
      </c>
      <c r="EO84" s="12">
        <f t="shared" si="99"/>
        <v>172</v>
      </c>
      <c r="EP84" s="12">
        <f t="shared" si="100"/>
        <v>162</v>
      </c>
      <c r="EQ84" s="12">
        <f t="shared" si="101"/>
        <v>152</v>
      </c>
      <c r="ER84" s="12">
        <f t="shared" si="102"/>
        <v>224</v>
      </c>
      <c r="ES84" s="12">
        <f t="shared" si="103"/>
        <v>204</v>
      </c>
      <c r="ET84" s="12">
        <f t="shared" si="104"/>
        <v>142</v>
      </c>
      <c r="EU84" s="12">
        <f t="shared" si="105"/>
        <v>194</v>
      </c>
      <c r="EV84" s="12">
        <f t="shared" si="106"/>
        <v>142</v>
      </c>
      <c r="EW84" s="12">
        <f t="shared" si="107"/>
        <v>122</v>
      </c>
      <c r="EX84" s="12">
        <f t="shared" si="108"/>
        <v>112</v>
      </c>
      <c r="EY84" s="12">
        <f t="shared" si="109"/>
        <v>92</v>
      </c>
      <c r="EZ84" s="12">
        <v>84</v>
      </c>
      <c r="FH84" s="12">
        <v>3600000</v>
      </c>
      <c r="FI84" s="12">
        <v>82</v>
      </c>
      <c r="FJ84" s="12">
        <v>3600000</v>
      </c>
    </row>
    <row r="85" spans="1:166" ht="13.35" customHeight="1" x14ac:dyDescent="0.2">
      <c r="A85" s="21">
        <f t="shared" si="115"/>
        <v>84</v>
      </c>
      <c r="B85" s="22">
        <f t="shared" si="119"/>
        <v>3</v>
      </c>
      <c r="C85" s="21">
        <f t="shared" si="116"/>
        <v>84</v>
      </c>
      <c r="D85" s="12">
        <v>28</v>
      </c>
      <c r="E85" s="27" t="s">
        <v>598</v>
      </c>
      <c r="J85" s="12">
        <v>5</v>
      </c>
      <c r="K85" s="12">
        <v>10</v>
      </c>
      <c r="L85" s="12">
        <v>10</v>
      </c>
      <c r="M85" s="12">
        <v>10</v>
      </c>
      <c r="N85" s="12">
        <v>5</v>
      </c>
      <c r="O85" s="12">
        <v>5</v>
      </c>
      <c r="P85" s="12">
        <v>5</v>
      </c>
      <c r="Q85" s="12">
        <v>5</v>
      </c>
      <c r="R85" s="12">
        <v>10</v>
      </c>
      <c r="S85" s="12">
        <v>10</v>
      </c>
      <c r="V85" s="12">
        <v>5</v>
      </c>
      <c r="W85" s="12">
        <v>5</v>
      </c>
      <c r="X85" s="12">
        <v>5</v>
      </c>
      <c r="Y85" s="12">
        <v>5</v>
      </c>
      <c r="AA85" s="12">
        <v>15</v>
      </c>
      <c r="AB85" s="12">
        <v>10</v>
      </c>
      <c r="AC85" s="12">
        <v>10</v>
      </c>
      <c r="AD85" s="12">
        <v>5</v>
      </c>
      <c r="AF85" s="12">
        <v>10</v>
      </c>
      <c r="AG85" s="12">
        <v>10</v>
      </c>
      <c r="AH85" s="12">
        <v>5</v>
      </c>
      <c r="AK85" s="12">
        <v>5</v>
      </c>
      <c r="AL85" s="12">
        <v>5</v>
      </c>
      <c r="AM85" s="12">
        <v>5</v>
      </c>
      <c r="AO85" s="12">
        <v>10</v>
      </c>
      <c r="AP85" s="12">
        <v>10</v>
      </c>
      <c r="AT85" s="12">
        <v>5</v>
      </c>
      <c r="BC85" s="12">
        <v>5</v>
      </c>
      <c r="BD85" s="12">
        <v>5</v>
      </c>
      <c r="BE85" s="12">
        <v>5</v>
      </c>
      <c r="BF85" s="12">
        <v>5</v>
      </c>
      <c r="BG85" s="12">
        <v>10</v>
      </c>
      <c r="BJ85" s="12">
        <v>5</v>
      </c>
      <c r="BK85" s="12">
        <v>5</v>
      </c>
      <c r="BS85" s="12">
        <v>5</v>
      </c>
      <c r="BT85" s="12">
        <v>5</v>
      </c>
      <c r="CB85" s="12">
        <v>15</v>
      </c>
      <c r="CE85" s="12">
        <v>5</v>
      </c>
      <c r="CG85" s="12">
        <v>5</v>
      </c>
      <c r="CJ85" s="12">
        <v>5</v>
      </c>
      <c r="CL85" s="12">
        <v>5</v>
      </c>
      <c r="CX85" s="12">
        <v>5</v>
      </c>
      <c r="CY85" s="12">
        <v>10</v>
      </c>
      <c r="DB85" s="12">
        <v>5</v>
      </c>
      <c r="DC85" s="12">
        <v>5</v>
      </c>
      <c r="DD85" s="12">
        <v>5</v>
      </c>
      <c r="DQ85" s="35">
        <v>82</v>
      </c>
      <c r="DR85" s="32">
        <v>61</v>
      </c>
      <c r="DS85" s="73">
        <v>86</v>
      </c>
      <c r="DT85" s="71">
        <v>25</v>
      </c>
      <c r="DU85" s="21">
        <v>147</v>
      </c>
      <c r="DV85" s="31">
        <f t="shared" si="117"/>
        <v>182</v>
      </c>
      <c r="DW85" s="30">
        <f t="shared" si="118"/>
        <v>306</v>
      </c>
      <c r="DX85" s="36">
        <v>25</v>
      </c>
      <c r="DY85" s="23">
        <v>131</v>
      </c>
      <c r="DZ85" s="12">
        <v>83</v>
      </c>
      <c r="EA85" s="12">
        <f t="shared" si="85"/>
        <v>379</v>
      </c>
      <c r="EB85" s="12">
        <f t="shared" si="86"/>
        <v>402</v>
      </c>
      <c r="EC85" s="12">
        <f t="shared" si="87"/>
        <v>392</v>
      </c>
      <c r="ED85" s="12">
        <f t="shared" si="88"/>
        <v>319</v>
      </c>
      <c r="EE85" s="12">
        <f t="shared" si="89"/>
        <v>256</v>
      </c>
      <c r="EF85" s="12">
        <f t="shared" si="90"/>
        <v>203</v>
      </c>
      <c r="EG85" s="12">
        <f t="shared" si="91"/>
        <v>193</v>
      </c>
      <c r="EH85" s="12">
        <f t="shared" si="92"/>
        <v>193</v>
      </c>
      <c r="EI85" s="12">
        <f t="shared" si="93"/>
        <v>183</v>
      </c>
      <c r="EJ85" s="12">
        <f t="shared" si="94"/>
        <v>173</v>
      </c>
      <c r="EK85" s="12">
        <f t="shared" si="95"/>
        <v>309</v>
      </c>
      <c r="EL85" s="12">
        <f t="shared" si="96"/>
        <v>193</v>
      </c>
      <c r="EM85" s="12">
        <f t="shared" si="97"/>
        <v>183</v>
      </c>
      <c r="EN85" s="12">
        <f t="shared" si="98"/>
        <v>236</v>
      </c>
      <c r="EO85" s="12">
        <f t="shared" si="99"/>
        <v>173</v>
      </c>
      <c r="EP85" s="12">
        <f t="shared" si="100"/>
        <v>163</v>
      </c>
      <c r="EQ85" s="12">
        <f t="shared" si="101"/>
        <v>153</v>
      </c>
      <c r="ER85" s="12">
        <f t="shared" si="102"/>
        <v>226</v>
      </c>
      <c r="ES85" s="12">
        <f t="shared" si="103"/>
        <v>206</v>
      </c>
      <c r="ET85" s="12">
        <f t="shared" si="104"/>
        <v>143</v>
      </c>
      <c r="EU85" s="12">
        <f t="shared" si="105"/>
        <v>196</v>
      </c>
      <c r="EV85" s="12">
        <f t="shared" si="106"/>
        <v>143</v>
      </c>
      <c r="EW85" s="12">
        <f t="shared" si="107"/>
        <v>123</v>
      </c>
      <c r="EX85" s="12">
        <f t="shared" si="108"/>
        <v>113</v>
      </c>
      <c r="EY85" s="12">
        <f t="shared" si="109"/>
        <v>93</v>
      </c>
      <c r="EZ85" s="12">
        <v>85</v>
      </c>
      <c r="FH85" s="12">
        <v>3650000</v>
      </c>
      <c r="FI85" s="12">
        <v>83</v>
      </c>
      <c r="FJ85" s="12">
        <v>3650000</v>
      </c>
    </row>
    <row r="86" spans="1:166" ht="13.35" customHeight="1" x14ac:dyDescent="0.2">
      <c r="A86" s="21">
        <f t="shared" si="115"/>
        <v>85</v>
      </c>
      <c r="B86" s="22">
        <f t="shared" si="119"/>
        <v>4</v>
      </c>
      <c r="C86" s="21">
        <f t="shared" si="116"/>
        <v>85</v>
      </c>
      <c r="D86" s="12">
        <v>29</v>
      </c>
      <c r="E86" s="27" t="s">
        <v>603</v>
      </c>
      <c r="J86" s="12">
        <v>5</v>
      </c>
      <c r="K86" s="12">
        <v>10</v>
      </c>
      <c r="L86" s="12">
        <v>10</v>
      </c>
      <c r="M86" s="12">
        <v>5</v>
      </c>
      <c r="N86" s="12">
        <v>5</v>
      </c>
      <c r="O86" s="12">
        <v>5</v>
      </c>
      <c r="P86" s="12">
        <v>5</v>
      </c>
      <c r="Q86" s="12">
        <v>5</v>
      </c>
      <c r="R86" s="12">
        <v>5</v>
      </c>
      <c r="S86" s="12">
        <v>15</v>
      </c>
      <c r="U86" s="12">
        <v>5</v>
      </c>
      <c r="W86" s="12">
        <v>5</v>
      </c>
      <c r="AA86" s="12">
        <v>10</v>
      </c>
      <c r="AB86" s="12">
        <v>15</v>
      </c>
      <c r="AC86" s="12">
        <v>10</v>
      </c>
      <c r="AF86" s="12">
        <v>10</v>
      </c>
      <c r="AG86" s="12">
        <v>15</v>
      </c>
      <c r="AH86" s="12">
        <v>5</v>
      </c>
      <c r="AK86" s="12">
        <v>5</v>
      </c>
      <c r="AL86" s="12">
        <v>5</v>
      </c>
      <c r="AM86" s="12">
        <v>5</v>
      </c>
      <c r="AO86" s="12">
        <v>10</v>
      </c>
      <c r="AP86" s="12">
        <v>10</v>
      </c>
      <c r="BC86" s="12">
        <v>5</v>
      </c>
      <c r="BD86" s="12">
        <v>5</v>
      </c>
      <c r="BE86" s="12">
        <v>5</v>
      </c>
      <c r="BI86" s="12">
        <v>5</v>
      </c>
      <c r="BJ86" s="12">
        <v>5</v>
      </c>
      <c r="BK86" s="12">
        <v>5</v>
      </c>
      <c r="BS86" s="12">
        <v>5</v>
      </c>
      <c r="BT86" s="12">
        <v>5</v>
      </c>
      <c r="CB86" s="12">
        <v>5</v>
      </c>
      <c r="CE86" s="12">
        <v>5</v>
      </c>
      <c r="CX86" s="12">
        <v>5</v>
      </c>
      <c r="CY86" s="12">
        <v>5</v>
      </c>
      <c r="CZ86" s="12">
        <v>5</v>
      </c>
      <c r="DQ86" s="35">
        <v>83</v>
      </c>
      <c r="DR86" s="32">
        <v>62</v>
      </c>
      <c r="DS86" s="73">
        <v>87</v>
      </c>
      <c r="DT86" s="71">
        <v>25</v>
      </c>
      <c r="DU86" s="21">
        <v>148</v>
      </c>
      <c r="DV86" s="31">
        <f t="shared" si="117"/>
        <v>183</v>
      </c>
      <c r="DW86" s="30">
        <f t="shared" si="118"/>
        <v>309</v>
      </c>
      <c r="DX86" s="36">
        <v>25</v>
      </c>
      <c r="DY86" s="23">
        <v>131.5</v>
      </c>
      <c r="DZ86" s="12">
        <v>84</v>
      </c>
      <c r="EA86" s="12">
        <f t="shared" si="85"/>
        <v>382</v>
      </c>
      <c r="EB86" s="12">
        <f t="shared" si="86"/>
        <v>406</v>
      </c>
      <c r="EC86" s="12">
        <f t="shared" si="87"/>
        <v>396</v>
      </c>
      <c r="ED86" s="12">
        <f t="shared" si="88"/>
        <v>322</v>
      </c>
      <c r="EE86" s="12">
        <f t="shared" si="89"/>
        <v>258</v>
      </c>
      <c r="EF86" s="12">
        <f t="shared" si="90"/>
        <v>204</v>
      </c>
      <c r="EG86" s="12">
        <f t="shared" si="91"/>
        <v>194</v>
      </c>
      <c r="EH86" s="12">
        <f t="shared" si="92"/>
        <v>194</v>
      </c>
      <c r="EI86" s="12">
        <f t="shared" si="93"/>
        <v>184</v>
      </c>
      <c r="EJ86" s="12">
        <f t="shared" si="94"/>
        <v>174</v>
      </c>
      <c r="EK86" s="12">
        <f t="shared" si="95"/>
        <v>312</v>
      </c>
      <c r="EL86" s="12">
        <f t="shared" si="96"/>
        <v>194</v>
      </c>
      <c r="EM86" s="12">
        <f t="shared" si="97"/>
        <v>184</v>
      </c>
      <c r="EN86" s="12">
        <f t="shared" si="98"/>
        <v>238</v>
      </c>
      <c r="EO86" s="12">
        <f t="shared" si="99"/>
        <v>174</v>
      </c>
      <c r="EP86" s="12">
        <f t="shared" si="100"/>
        <v>164</v>
      </c>
      <c r="EQ86" s="12">
        <f t="shared" si="101"/>
        <v>154</v>
      </c>
      <c r="ER86" s="12">
        <f t="shared" si="102"/>
        <v>228</v>
      </c>
      <c r="ES86" s="12">
        <f t="shared" si="103"/>
        <v>208</v>
      </c>
      <c r="ET86" s="12">
        <f t="shared" si="104"/>
        <v>144</v>
      </c>
      <c r="EU86" s="12">
        <f t="shared" si="105"/>
        <v>198</v>
      </c>
      <c r="EV86" s="12">
        <f t="shared" si="106"/>
        <v>144</v>
      </c>
      <c r="EW86" s="12">
        <f t="shared" si="107"/>
        <v>124</v>
      </c>
      <c r="EX86" s="12">
        <f t="shared" si="108"/>
        <v>114</v>
      </c>
      <c r="EY86" s="12">
        <f t="shared" si="109"/>
        <v>94</v>
      </c>
      <c r="EZ86" s="12">
        <v>86</v>
      </c>
      <c r="FH86" s="12">
        <v>3700000</v>
      </c>
      <c r="FI86" s="12">
        <v>84</v>
      </c>
      <c r="FJ86" s="12">
        <v>3700000</v>
      </c>
    </row>
    <row r="87" spans="1:166" ht="13.35" customHeight="1" x14ac:dyDescent="0.2">
      <c r="A87" s="21">
        <f t="shared" si="115"/>
        <v>86</v>
      </c>
      <c r="B87" s="22">
        <f t="shared" si="119"/>
        <v>4</v>
      </c>
      <c r="C87" s="21">
        <f t="shared" si="116"/>
        <v>86</v>
      </c>
      <c r="D87" s="12">
        <v>30</v>
      </c>
      <c r="E87" s="27" t="s">
        <v>607</v>
      </c>
      <c r="K87" s="12">
        <v>5</v>
      </c>
      <c r="L87" s="12">
        <v>5</v>
      </c>
      <c r="M87" s="12">
        <v>5</v>
      </c>
      <c r="N87" s="12">
        <v>5</v>
      </c>
      <c r="O87" s="12">
        <v>5</v>
      </c>
      <c r="P87" s="12">
        <v>5</v>
      </c>
      <c r="Q87" s="12">
        <v>5</v>
      </c>
      <c r="R87" s="12">
        <v>5</v>
      </c>
      <c r="S87" s="12">
        <v>5</v>
      </c>
      <c r="AA87" s="12">
        <v>5</v>
      </c>
      <c r="AB87" s="12">
        <v>5</v>
      </c>
      <c r="AC87" s="12">
        <v>5</v>
      </c>
      <c r="AF87" s="12">
        <v>5</v>
      </c>
      <c r="AG87" s="12">
        <v>5</v>
      </c>
      <c r="AK87" s="12">
        <v>5</v>
      </c>
      <c r="AL87" s="12">
        <v>5</v>
      </c>
      <c r="AM87" s="12">
        <v>5</v>
      </c>
      <c r="AO87" s="12">
        <v>5</v>
      </c>
      <c r="AP87" s="12">
        <v>5</v>
      </c>
      <c r="AS87" s="12">
        <v>5</v>
      </c>
      <c r="AT87" s="12">
        <v>5</v>
      </c>
      <c r="AU87" s="12">
        <v>5</v>
      </c>
      <c r="AV87" s="12">
        <v>5</v>
      </c>
      <c r="AW87" s="12">
        <v>5</v>
      </c>
      <c r="AX87" s="12">
        <v>5</v>
      </c>
      <c r="AY87" s="12">
        <v>5</v>
      </c>
      <c r="BB87" s="12">
        <v>10</v>
      </c>
      <c r="BC87" s="12">
        <v>10</v>
      </c>
      <c r="BD87" s="12">
        <v>10</v>
      </c>
      <c r="BE87" s="12">
        <v>10</v>
      </c>
      <c r="BF87" s="12">
        <v>5</v>
      </c>
      <c r="BG87" s="12">
        <v>5</v>
      </c>
      <c r="BH87" s="12">
        <v>5</v>
      </c>
      <c r="BI87" s="12">
        <v>5</v>
      </c>
      <c r="BJ87" s="12">
        <v>5</v>
      </c>
      <c r="BK87" s="12">
        <v>5</v>
      </c>
      <c r="BL87" s="12">
        <v>5</v>
      </c>
      <c r="BM87" s="12">
        <v>5</v>
      </c>
      <c r="BN87" s="12">
        <v>5</v>
      </c>
      <c r="BO87" s="12">
        <v>5</v>
      </c>
      <c r="BP87" s="12">
        <v>5</v>
      </c>
      <c r="BQ87" s="12">
        <v>5</v>
      </c>
      <c r="BR87" s="12">
        <v>5</v>
      </c>
      <c r="BS87" s="12">
        <v>10</v>
      </c>
      <c r="BT87" s="12">
        <v>5</v>
      </c>
      <c r="BU87" s="12">
        <v>5</v>
      </c>
      <c r="BV87" s="12">
        <v>5</v>
      </c>
      <c r="BX87" s="12">
        <v>5</v>
      </c>
      <c r="BY87" s="12">
        <v>5</v>
      </c>
      <c r="BZ87" s="12">
        <v>5</v>
      </c>
      <c r="CA87" s="12">
        <v>5</v>
      </c>
      <c r="CB87" s="12">
        <v>5</v>
      </c>
      <c r="CC87" s="12">
        <v>5</v>
      </c>
      <c r="CD87" s="12">
        <v>5</v>
      </c>
      <c r="CE87" s="12">
        <v>5</v>
      </c>
      <c r="CF87" s="12">
        <v>5</v>
      </c>
      <c r="CG87" s="12">
        <v>5</v>
      </c>
      <c r="CH87" s="12">
        <v>5</v>
      </c>
      <c r="CI87" s="12">
        <v>5</v>
      </c>
      <c r="CJ87" s="12">
        <v>5</v>
      </c>
      <c r="CK87" s="12">
        <v>5</v>
      </c>
      <c r="CL87" s="12">
        <v>5</v>
      </c>
      <c r="CM87" s="12">
        <v>5</v>
      </c>
      <c r="CN87" s="12">
        <v>5</v>
      </c>
      <c r="CO87" s="12">
        <v>5</v>
      </c>
      <c r="CP87" s="12">
        <v>5</v>
      </c>
      <c r="CQ87" s="12">
        <v>5</v>
      </c>
      <c r="CY87" s="12">
        <v>5</v>
      </c>
      <c r="CZ87" s="12">
        <v>5</v>
      </c>
      <c r="DB87" s="12">
        <v>5</v>
      </c>
      <c r="DC87" s="12">
        <v>5</v>
      </c>
      <c r="DD87" s="12">
        <v>5</v>
      </c>
      <c r="DQ87" s="35">
        <v>84</v>
      </c>
      <c r="DR87" s="32">
        <v>62</v>
      </c>
      <c r="DS87" s="73">
        <v>87</v>
      </c>
      <c r="DT87" s="71">
        <v>25</v>
      </c>
      <c r="DU87" s="21">
        <v>149</v>
      </c>
      <c r="DV87" s="31">
        <f t="shared" si="117"/>
        <v>184</v>
      </c>
      <c r="DW87" s="30">
        <f t="shared" si="118"/>
        <v>312</v>
      </c>
      <c r="DX87" s="36">
        <v>25</v>
      </c>
      <c r="DY87" s="23">
        <v>132</v>
      </c>
      <c r="DZ87" s="12">
        <v>85</v>
      </c>
      <c r="EA87" s="12">
        <f t="shared" si="85"/>
        <v>385</v>
      </c>
      <c r="EB87" s="12">
        <f t="shared" si="86"/>
        <v>410</v>
      </c>
      <c r="EC87" s="12">
        <f t="shared" si="87"/>
        <v>400</v>
      </c>
      <c r="ED87" s="12">
        <f t="shared" si="88"/>
        <v>325</v>
      </c>
      <c r="EE87" s="12">
        <f t="shared" si="89"/>
        <v>260</v>
      </c>
      <c r="EF87" s="12">
        <f t="shared" si="90"/>
        <v>205</v>
      </c>
      <c r="EG87" s="12">
        <f t="shared" si="91"/>
        <v>195</v>
      </c>
      <c r="EH87" s="12">
        <f t="shared" si="92"/>
        <v>195</v>
      </c>
      <c r="EI87" s="12">
        <f t="shared" si="93"/>
        <v>185</v>
      </c>
      <c r="EJ87" s="12">
        <f t="shared" si="94"/>
        <v>175</v>
      </c>
      <c r="EK87" s="12">
        <f t="shared" si="95"/>
        <v>315</v>
      </c>
      <c r="EL87" s="12">
        <f t="shared" si="96"/>
        <v>195</v>
      </c>
      <c r="EM87" s="12">
        <f t="shared" si="97"/>
        <v>185</v>
      </c>
      <c r="EN87" s="12">
        <f t="shared" si="98"/>
        <v>240</v>
      </c>
      <c r="EO87" s="12">
        <f t="shared" si="99"/>
        <v>175</v>
      </c>
      <c r="EP87" s="12">
        <f t="shared" si="100"/>
        <v>165</v>
      </c>
      <c r="EQ87" s="12">
        <f t="shared" si="101"/>
        <v>155</v>
      </c>
      <c r="ER87" s="12">
        <f t="shared" si="102"/>
        <v>230</v>
      </c>
      <c r="ES87" s="12">
        <f t="shared" si="103"/>
        <v>210</v>
      </c>
      <c r="ET87" s="12">
        <f t="shared" si="104"/>
        <v>145</v>
      </c>
      <c r="EU87" s="12">
        <f t="shared" si="105"/>
        <v>200</v>
      </c>
      <c r="EV87" s="12">
        <f t="shared" si="106"/>
        <v>145</v>
      </c>
      <c r="EW87" s="12">
        <f t="shared" si="107"/>
        <v>125</v>
      </c>
      <c r="EX87" s="12">
        <f t="shared" si="108"/>
        <v>115</v>
      </c>
      <c r="EY87" s="12">
        <f t="shared" si="109"/>
        <v>95</v>
      </c>
      <c r="EZ87" s="12">
        <v>87</v>
      </c>
      <c r="FH87" s="12">
        <v>3750000</v>
      </c>
      <c r="FI87" s="12">
        <v>85</v>
      </c>
      <c r="FJ87" s="12">
        <v>3750000</v>
      </c>
    </row>
    <row r="88" spans="1:166" ht="13.35" customHeight="1" x14ac:dyDescent="0.2">
      <c r="A88" s="21">
        <f t="shared" si="115"/>
        <v>87</v>
      </c>
      <c r="B88" s="22">
        <f t="shared" si="119"/>
        <v>4</v>
      </c>
      <c r="C88" s="21">
        <f t="shared" si="116"/>
        <v>87</v>
      </c>
      <c r="D88" s="12">
        <v>31</v>
      </c>
      <c r="E88" s="27" t="s">
        <v>608</v>
      </c>
      <c r="AA88" s="12">
        <v>5</v>
      </c>
      <c r="AB88" s="12">
        <v>5</v>
      </c>
      <c r="AT88" s="12">
        <v>5</v>
      </c>
      <c r="AW88" s="12">
        <v>10</v>
      </c>
      <c r="CL88" s="12">
        <v>5</v>
      </c>
      <c r="CU88" s="12">
        <v>10</v>
      </c>
      <c r="DQ88" s="35">
        <v>85</v>
      </c>
      <c r="DR88" s="32">
        <v>63</v>
      </c>
      <c r="DS88" s="73">
        <v>88</v>
      </c>
      <c r="DT88" s="71">
        <v>25</v>
      </c>
      <c r="DU88" s="21">
        <v>150</v>
      </c>
      <c r="DV88" s="31">
        <f t="shared" si="117"/>
        <v>185</v>
      </c>
      <c r="DW88" s="30">
        <f t="shared" si="118"/>
        <v>315</v>
      </c>
      <c r="DX88" s="36">
        <v>25</v>
      </c>
      <c r="DY88" s="23">
        <v>132.5</v>
      </c>
      <c r="DZ88" s="12">
        <v>86</v>
      </c>
      <c r="EA88" s="12">
        <f t="shared" si="85"/>
        <v>388</v>
      </c>
      <c r="EB88" s="12">
        <f t="shared" si="86"/>
        <v>414</v>
      </c>
      <c r="EC88" s="12">
        <f t="shared" si="87"/>
        <v>404</v>
      </c>
      <c r="ED88" s="12">
        <f t="shared" si="88"/>
        <v>328</v>
      </c>
      <c r="EE88" s="12">
        <f t="shared" si="89"/>
        <v>262</v>
      </c>
      <c r="EF88" s="12">
        <f t="shared" si="90"/>
        <v>206</v>
      </c>
      <c r="EG88" s="12">
        <f t="shared" si="91"/>
        <v>196</v>
      </c>
      <c r="EH88" s="12">
        <f t="shared" si="92"/>
        <v>196</v>
      </c>
      <c r="EI88" s="12">
        <f t="shared" si="93"/>
        <v>186</v>
      </c>
      <c r="EJ88" s="12">
        <f t="shared" si="94"/>
        <v>176</v>
      </c>
      <c r="EK88" s="12">
        <f t="shared" si="95"/>
        <v>318</v>
      </c>
      <c r="EL88" s="12">
        <f t="shared" si="96"/>
        <v>196</v>
      </c>
      <c r="EM88" s="12">
        <f t="shared" si="97"/>
        <v>186</v>
      </c>
      <c r="EN88" s="12">
        <f t="shared" si="98"/>
        <v>242</v>
      </c>
      <c r="EO88" s="12">
        <f t="shared" si="99"/>
        <v>176</v>
      </c>
      <c r="EP88" s="12">
        <f t="shared" si="100"/>
        <v>166</v>
      </c>
      <c r="EQ88" s="12">
        <f t="shared" si="101"/>
        <v>156</v>
      </c>
      <c r="ER88" s="12">
        <f t="shared" si="102"/>
        <v>232</v>
      </c>
      <c r="ES88" s="12">
        <f t="shared" si="103"/>
        <v>212</v>
      </c>
      <c r="ET88" s="12">
        <f t="shared" si="104"/>
        <v>146</v>
      </c>
      <c r="EU88" s="12">
        <f t="shared" si="105"/>
        <v>202</v>
      </c>
      <c r="EV88" s="12">
        <f t="shared" si="106"/>
        <v>146</v>
      </c>
      <c r="EW88" s="12">
        <f t="shared" si="107"/>
        <v>126</v>
      </c>
      <c r="EX88" s="12">
        <f t="shared" si="108"/>
        <v>116</v>
      </c>
      <c r="EY88" s="12">
        <f t="shared" si="109"/>
        <v>96</v>
      </c>
      <c r="EZ88" s="12">
        <v>88</v>
      </c>
      <c r="FH88" s="12">
        <v>3800000</v>
      </c>
      <c r="FI88" s="12">
        <v>86</v>
      </c>
      <c r="FJ88" s="12">
        <v>3800000</v>
      </c>
    </row>
    <row r="89" spans="1:166" ht="13.35" customHeight="1" x14ac:dyDescent="0.2">
      <c r="A89" s="21">
        <f t="shared" si="115"/>
        <v>88</v>
      </c>
      <c r="B89" s="22">
        <f t="shared" si="119"/>
        <v>4</v>
      </c>
      <c r="C89" s="21">
        <f t="shared" si="116"/>
        <v>88</v>
      </c>
      <c r="D89" s="12">
        <v>32</v>
      </c>
      <c r="E89" s="27" t="s">
        <v>1041</v>
      </c>
      <c r="AA89" s="12">
        <v>5</v>
      </c>
      <c r="AB89" s="12">
        <v>5</v>
      </c>
      <c r="AW89" s="12">
        <v>10</v>
      </c>
      <c r="CL89" s="12">
        <v>5</v>
      </c>
      <c r="CU89" s="12">
        <v>10</v>
      </c>
      <c r="DQ89" s="35">
        <v>86</v>
      </c>
      <c r="DR89" s="32">
        <v>63</v>
      </c>
      <c r="DS89" s="73">
        <v>88</v>
      </c>
      <c r="DT89" s="71">
        <v>25</v>
      </c>
      <c r="DU89" s="21">
        <v>151</v>
      </c>
      <c r="DV89" s="31">
        <f t="shared" si="117"/>
        <v>186</v>
      </c>
      <c r="DW89" s="30">
        <f t="shared" si="118"/>
        <v>318</v>
      </c>
      <c r="DX89" s="36">
        <v>25</v>
      </c>
      <c r="DY89" s="23">
        <v>133</v>
      </c>
      <c r="DZ89" s="12">
        <v>87</v>
      </c>
      <c r="EA89" s="12">
        <f t="shared" si="85"/>
        <v>391</v>
      </c>
      <c r="EB89" s="12">
        <f t="shared" si="86"/>
        <v>418</v>
      </c>
      <c r="EC89" s="12">
        <f t="shared" si="87"/>
        <v>408</v>
      </c>
      <c r="ED89" s="12">
        <f t="shared" si="88"/>
        <v>331</v>
      </c>
      <c r="EE89" s="12">
        <f t="shared" si="89"/>
        <v>264</v>
      </c>
      <c r="EF89" s="12">
        <f t="shared" si="90"/>
        <v>207</v>
      </c>
      <c r="EG89" s="12">
        <f t="shared" si="91"/>
        <v>197</v>
      </c>
      <c r="EH89" s="12">
        <f t="shared" si="92"/>
        <v>197</v>
      </c>
      <c r="EI89" s="12">
        <f t="shared" si="93"/>
        <v>187</v>
      </c>
      <c r="EJ89" s="12">
        <f t="shared" si="94"/>
        <v>177</v>
      </c>
      <c r="EK89" s="12">
        <f t="shared" si="95"/>
        <v>321</v>
      </c>
      <c r="EL89" s="12">
        <f t="shared" si="96"/>
        <v>197</v>
      </c>
      <c r="EM89" s="12">
        <f t="shared" si="97"/>
        <v>187</v>
      </c>
      <c r="EN89" s="12">
        <f t="shared" si="98"/>
        <v>244</v>
      </c>
      <c r="EO89" s="12">
        <f t="shared" si="99"/>
        <v>177</v>
      </c>
      <c r="EP89" s="12">
        <f t="shared" si="100"/>
        <v>167</v>
      </c>
      <c r="EQ89" s="12">
        <f t="shared" si="101"/>
        <v>157</v>
      </c>
      <c r="ER89" s="12">
        <f t="shared" si="102"/>
        <v>234</v>
      </c>
      <c r="ES89" s="12">
        <f t="shared" si="103"/>
        <v>214</v>
      </c>
      <c r="ET89" s="12">
        <f t="shared" si="104"/>
        <v>147</v>
      </c>
      <c r="EU89" s="12">
        <f t="shared" si="105"/>
        <v>204</v>
      </c>
      <c r="EV89" s="12">
        <f t="shared" si="106"/>
        <v>147</v>
      </c>
      <c r="EW89" s="12">
        <f t="shared" si="107"/>
        <v>127</v>
      </c>
      <c r="EX89" s="12">
        <f t="shared" si="108"/>
        <v>117</v>
      </c>
      <c r="EY89" s="12">
        <f t="shared" si="109"/>
        <v>97</v>
      </c>
      <c r="EZ89" s="12">
        <v>89</v>
      </c>
      <c r="FH89" s="12">
        <v>3850000</v>
      </c>
      <c r="FI89" s="12">
        <v>87</v>
      </c>
      <c r="FJ89" s="12">
        <v>3850000</v>
      </c>
    </row>
    <row r="90" spans="1:166" ht="13.35" customHeight="1" x14ac:dyDescent="0.2">
      <c r="A90" s="21">
        <f t="shared" si="115"/>
        <v>89</v>
      </c>
      <c r="B90" s="22">
        <f t="shared" si="119"/>
        <v>4</v>
      </c>
      <c r="C90" s="21">
        <f t="shared" si="116"/>
        <v>89</v>
      </c>
      <c r="D90" s="12">
        <v>33</v>
      </c>
      <c r="E90" s="27" t="s">
        <v>618</v>
      </c>
      <c r="G90" s="12">
        <v>5</v>
      </c>
      <c r="I90" s="12">
        <v>15</v>
      </c>
      <c r="J90" s="12">
        <v>5</v>
      </c>
      <c r="O90" s="12">
        <v>5</v>
      </c>
      <c r="P90" s="12">
        <v>10</v>
      </c>
      <c r="Q90" s="12">
        <v>10</v>
      </c>
      <c r="R90" s="12">
        <v>5</v>
      </c>
      <c r="V90" s="12">
        <v>10</v>
      </c>
      <c r="X90" s="12">
        <v>5</v>
      </c>
      <c r="Y90" s="12">
        <v>10</v>
      </c>
      <c r="AC90" s="12">
        <v>5</v>
      </c>
      <c r="AK90" s="12">
        <v>5</v>
      </c>
      <c r="AL90" s="12">
        <v>5</v>
      </c>
      <c r="AM90" s="12">
        <v>5</v>
      </c>
      <c r="AP90" s="12">
        <v>5</v>
      </c>
      <c r="AQ90" s="12">
        <v>5</v>
      </c>
      <c r="AY90" s="12">
        <v>5</v>
      </c>
      <c r="BL90" s="12">
        <v>5</v>
      </c>
      <c r="BR90" s="12">
        <v>5</v>
      </c>
      <c r="DD90" s="12">
        <v>5</v>
      </c>
      <c r="DQ90" s="35">
        <v>87</v>
      </c>
      <c r="DR90" s="32">
        <v>64</v>
      </c>
      <c r="DS90" s="73">
        <v>89</v>
      </c>
      <c r="DT90" s="71">
        <v>25</v>
      </c>
      <c r="DU90" s="21">
        <v>152</v>
      </c>
      <c r="DV90" s="31">
        <f t="shared" si="117"/>
        <v>187</v>
      </c>
      <c r="DW90" s="30">
        <f t="shared" si="118"/>
        <v>321</v>
      </c>
      <c r="DX90" s="36">
        <v>25</v>
      </c>
      <c r="DY90" s="23">
        <v>133.5</v>
      </c>
      <c r="DZ90" s="12">
        <v>88</v>
      </c>
      <c r="EA90" s="12">
        <f t="shared" si="85"/>
        <v>394</v>
      </c>
      <c r="EB90" s="12">
        <f t="shared" si="86"/>
        <v>422</v>
      </c>
      <c r="EC90" s="12">
        <f t="shared" si="87"/>
        <v>412</v>
      </c>
      <c r="ED90" s="12">
        <f t="shared" si="88"/>
        <v>334</v>
      </c>
      <c r="EE90" s="12">
        <f t="shared" si="89"/>
        <v>266</v>
      </c>
      <c r="EF90" s="12">
        <f t="shared" si="90"/>
        <v>208</v>
      </c>
      <c r="EG90" s="12">
        <f t="shared" si="91"/>
        <v>198</v>
      </c>
      <c r="EH90" s="12">
        <f t="shared" si="92"/>
        <v>198</v>
      </c>
      <c r="EI90" s="12">
        <f t="shared" si="93"/>
        <v>188</v>
      </c>
      <c r="EJ90" s="12">
        <f t="shared" si="94"/>
        <v>178</v>
      </c>
      <c r="EK90" s="12">
        <f t="shared" si="95"/>
        <v>324</v>
      </c>
      <c r="EL90" s="12">
        <f t="shared" si="96"/>
        <v>198</v>
      </c>
      <c r="EM90" s="12">
        <f t="shared" si="97"/>
        <v>188</v>
      </c>
      <c r="EN90" s="12">
        <f t="shared" si="98"/>
        <v>246</v>
      </c>
      <c r="EO90" s="12">
        <f t="shared" si="99"/>
        <v>178</v>
      </c>
      <c r="EP90" s="12">
        <f t="shared" si="100"/>
        <v>168</v>
      </c>
      <c r="EQ90" s="12">
        <f t="shared" si="101"/>
        <v>158</v>
      </c>
      <c r="ER90" s="12">
        <f t="shared" si="102"/>
        <v>236</v>
      </c>
      <c r="ES90" s="12">
        <f t="shared" si="103"/>
        <v>216</v>
      </c>
      <c r="ET90" s="12">
        <f t="shared" si="104"/>
        <v>148</v>
      </c>
      <c r="EU90" s="12">
        <f t="shared" si="105"/>
        <v>206</v>
      </c>
      <c r="EV90" s="12">
        <f t="shared" si="106"/>
        <v>148</v>
      </c>
      <c r="EW90" s="12">
        <f t="shared" si="107"/>
        <v>128</v>
      </c>
      <c r="EX90" s="12">
        <f t="shared" si="108"/>
        <v>118</v>
      </c>
      <c r="EY90" s="12">
        <f t="shared" si="109"/>
        <v>98</v>
      </c>
      <c r="EZ90" s="12">
        <v>90</v>
      </c>
      <c r="FH90" s="12">
        <v>3900000</v>
      </c>
      <c r="FI90" s="12">
        <v>88</v>
      </c>
      <c r="FJ90" s="12">
        <v>3900000</v>
      </c>
    </row>
    <row r="91" spans="1:166" ht="13.35" customHeight="1" x14ac:dyDescent="0.2">
      <c r="A91" s="21">
        <f t="shared" si="115"/>
        <v>90</v>
      </c>
      <c r="B91" s="22">
        <f t="shared" ref="B91:B101" si="120">ROUND((A91-81)/2,0)</f>
        <v>5</v>
      </c>
      <c r="C91" s="21">
        <f t="shared" si="116"/>
        <v>90</v>
      </c>
      <c r="D91" s="12">
        <v>34</v>
      </c>
      <c r="E91" s="27" t="s">
        <v>635</v>
      </c>
      <c r="DQ91" s="35">
        <v>88</v>
      </c>
      <c r="DR91" s="32">
        <v>64</v>
      </c>
      <c r="DS91" s="73">
        <v>89</v>
      </c>
      <c r="DT91" s="71">
        <v>25</v>
      </c>
      <c r="DU91" s="21">
        <v>153</v>
      </c>
      <c r="DV91" s="31">
        <f t="shared" si="117"/>
        <v>188</v>
      </c>
      <c r="DW91" s="30">
        <f t="shared" si="118"/>
        <v>324</v>
      </c>
      <c r="DX91" s="36">
        <v>25</v>
      </c>
      <c r="DY91" s="23">
        <v>134</v>
      </c>
      <c r="DZ91" s="12">
        <v>89</v>
      </c>
      <c r="EA91" s="12">
        <f t="shared" si="85"/>
        <v>397</v>
      </c>
      <c r="EB91" s="12">
        <f t="shared" si="86"/>
        <v>426</v>
      </c>
      <c r="EC91" s="12">
        <f t="shared" si="87"/>
        <v>416</v>
      </c>
      <c r="ED91" s="12">
        <f t="shared" si="88"/>
        <v>337</v>
      </c>
      <c r="EE91" s="12">
        <f t="shared" si="89"/>
        <v>268</v>
      </c>
      <c r="EF91" s="12">
        <f t="shared" si="90"/>
        <v>209</v>
      </c>
      <c r="EG91" s="12">
        <f t="shared" si="91"/>
        <v>199</v>
      </c>
      <c r="EH91" s="12">
        <f t="shared" si="92"/>
        <v>199</v>
      </c>
      <c r="EI91" s="12">
        <f t="shared" si="93"/>
        <v>189</v>
      </c>
      <c r="EJ91" s="12">
        <f t="shared" si="94"/>
        <v>179</v>
      </c>
      <c r="EK91" s="12">
        <f t="shared" si="95"/>
        <v>327</v>
      </c>
      <c r="EL91" s="12">
        <f t="shared" si="96"/>
        <v>199</v>
      </c>
      <c r="EM91" s="12">
        <f t="shared" si="97"/>
        <v>189</v>
      </c>
      <c r="EN91" s="12">
        <f t="shared" si="98"/>
        <v>248</v>
      </c>
      <c r="EO91" s="12">
        <f t="shared" si="99"/>
        <v>179</v>
      </c>
      <c r="EP91" s="12">
        <f t="shared" si="100"/>
        <v>169</v>
      </c>
      <c r="EQ91" s="12">
        <f t="shared" si="101"/>
        <v>159</v>
      </c>
      <c r="ER91" s="12">
        <f t="shared" si="102"/>
        <v>238</v>
      </c>
      <c r="ES91" s="12">
        <f t="shared" si="103"/>
        <v>218</v>
      </c>
      <c r="ET91" s="12">
        <f t="shared" si="104"/>
        <v>149</v>
      </c>
      <c r="EU91" s="12">
        <f t="shared" si="105"/>
        <v>208</v>
      </c>
      <c r="EV91" s="12">
        <f t="shared" si="106"/>
        <v>149</v>
      </c>
      <c r="EW91" s="12">
        <f t="shared" si="107"/>
        <v>129</v>
      </c>
      <c r="EX91" s="12">
        <f t="shared" si="108"/>
        <v>119</v>
      </c>
      <c r="EY91" s="12">
        <f t="shared" si="109"/>
        <v>99</v>
      </c>
      <c r="EZ91" s="12">
        <v>91</v>
      </c>
      <c r="FH91" s="12">
        <v>3950000</v>
      </c>
      <c r="FI91" s="12">
        <v>89</v>
      </c>
      <c r="FJ91" s="12">
        <v>3950000</v>
      </c>
    </row>
    <row r="92" spans="1:166" ht="13.35" customHeight="1" x14ac:dyDescent="0.2">
      <c r="A92" s="21">
        <f t="shared" si="115"/>
        <v>91</v>
      </c>
      <c r="B92" s="22">
        <f t="shared" si="120"/>
        <v>5</v>
      </c>
      <c r="C92" s="21">
        <f t="shared" ref="C92:C123" si="121">90+(A92-90)^2</f>
        <v>91</v>
      </c>
      <c r="D92" s="12">
        <v>35</v>
      </c>
      <c r="E92" s="27" t="s">
        <v>638</v>
      </c>
      <c r="DQ92" s="35">
        <v>89</v>
      </c>
      <c r="DR92" s="32">
        <v>65</v>
      </c>
      <c r="DS92" s="73">
        <v>90</v>
      </c>
      <c r="DT92" s="71">
        <v>25</v>
      </c>
      <c r="DU92" s="21">
        <v>154</v>
      </c>
      <c r="DV92" s="31">
        <f t="shared" si="117"/>
        <v>189</v>
      </c>
      <c r="DW92" s="30">
        <f t="shared" si="118"/>
        <v>327</v>
      </c>
      <c r="DX92" s="36">
        <v>25</v>
      </c>
      <c r="DY92" s="23">
        <v>134.5</v>
      </c>
      <c r="DZ92" s="20">
        <v>90</v>
      </c>
      <c r="EA92" s="12">
        <f t="shared" si="85"/>
        <v>400</v>
      </c>
      <c r="EB92" s="12">
        <f t="shared" si="86"/>
        <v>430</v>
      </c>
      <c r="EC92" s="12">
        <f t="shared" si="87"/>
        <v>420</v>
      </c>
      <c r="ED92" s="12">
        <f t="shared" si="88"/>
        <v>340</v>
      </c>
      <c r="EE92" s="12">
        <f t="shared" si="89"/>
        <v>270</v>
      </c>
      <c r="EF92" s="12">
        <f t="shared" si="90"/>
        <v>210</v>
      </c>
      <c r="EG92" s="12">
        <f t="shared" si="91"/>
        <v>200</v>
      </c>
      <c r="EH92" s="12">
        <f t="shared" si="92"/>
        <v>200</v>
      </c>
      <c r="EI92" s="12">
        <f t="shared" si="93"/>
        <v>190</v>
      </c>
      <c r="EJ92" s="12">
        <f t="shared" si="94"/>
        <v>180</v>
      </c>
      <c r="EK92" s="12">
        <f t="shared" si="95"/>
        <v>330</v>
      </c>
      <c r="EL92" s="12">
        <f t="shared" si="96"/>
        <v>200</v>
      </c>
      <c r="EM92" s="12">
        <f t="shared" si="97"/>
        <v>190</v>
      </c>
      <c r="EN92" s="12">
        <f t="shared" si="98"/>
        <v>250</v>
      </c>
      <c r="EO92" s="12">
        <f t="shared" si="99"/>
        <v>180</v>
      </c>
      <c r="EP92" s="12">
        <f t="shared" si="100"/>
        <v>170</v>
      </c>
      <c r="EQ92" s="12">
        <f t="shared" si="101"/>
        <v>160</v>
      </c>
      <c r="ER92" s="12">
        <f t="shared" si="102"/>
        <v>240</v>
      </c>
      <c r="ES92" s="12">
        <f t="shared" si="103"/>
        <v>220</v>
      </c>
      <c r="ET92" s="12">
        <f t="shared" si="104"/>
        <v>150</v>
      </c>
      <c r="EU92" s="12">
        <f t="shared" si="105"/>
        <v>210</v>
      </c>
      <c r="EV92" s="12">
        <f t="shared" si="106"/>
        <v>150</v>
      </c>
      <c r="EW92" s="12">
        <f t="shared" si="107"/>
        <v>130</v>
      </c>
      <c r="EX92" s="12">
        <f t="shared" si="108"/>
        <v>120</v>
      </c>
      <c r="EY92" s="12">
        <f t="shared" si="109"/>
        <v>100</v>
      </c>
      <c r="EZ92" s="20">
        <v>92</v>
      </c>
      <c r="FH92" s="12">
        <v>4000000</v>
      </c>
      <c r="FI92" s="12">
        <v>90</v>
      </c>
      <c r="FJ92" s="12">
        <v>4000000</v>
      </c>
    </row>
    <row r="93" spans="1:166" ht="13.35" customHeight="1" x14ac:dyDescent="0.2">
      <c r="A93" s="21">
        <f t="shared" si="115"/>
        <v>92</v>
      </c>
      <c r="B93" s="22">
        <f t="shared" si="120"/>
        <v>6</v>
      </c>
      <c r="C93" s="21">
        <f t="shared" si="121"/>
        <v>94</v>
      </c>
      <c r="D93" s="12">
        <v>36</v>
      </c>
      <c r="E93" s="27" t="s">
        <v>1315</v>
      </c>
      <c r="K93" s="12">
        <v>5</v>
      </c>
      <c r="L93" s="12">
        <v>5</v>
      </c>
      <c r="M93" s="12">
        <v>5</v>
      </c>
      <c r="N93" s="12">
        <v>5</v>
      </c>
      <c r="O93" s="12">
        <v>5</v>
      </c>
      <c r="P93" s="12">
        <v>5</v>
      </c>
      <c r="Q93" s="12">
        <v>5</v>
      </c>
      <c r="R93" s="12">
        <v>5</v>
      </c>
      <c r="S93" s="12">
        <v>5</v>
      </c>
      <c r="AA93" s="12">
        <v>5</v>
      </c>
      <c r="AB93" s="12">
        <v>5</v>
      </c>
      <c r="AD93" s="12">
        <v>5</v>
      </c>
      <c r="AF93" s="12">
        <v>5</v>
      </c>
      <c r="AG93" s="12">
        <v>5</v>
      </c>
      <c r="AK93" s="12">
        <v>5</v>
      </c>
      <c r="AL93" s="12">
        <v>5</v>
      </c>
      <c r="AM93" s="12">
        <v>5</v>
      </c>
      <c r="AO93" s="12">
        <v>5</v>
      </c>
      <c r="AP93" s="12">
        <v>5</v>
      </c>
      <c r="AS93" s="12">
        <v>5</v>
      </c>
      <c r="AT93" s="12">
        <v>5</v>
      </c>
      <c r="AU93" s="12">
        <v>5</v>
      </c>
      <c r="AV93" s="12">
        <v>5</v>
      </c>
      <c r="AW93" s="12">
        <v>5</v>
      </c>
      <c r="AX93" s="12">
        <v>5</v>
      </c>
      <c r="AY93" s="12">
        <v>5</v>
      </c>
      <c r="AZ93" s="12">
        <v>5</v>
      </c>
      <c r="BA93" s="12">
        <v>5</v>
      </c>
      <c r="BB93" s="12">
        <v>5</v>
      </c>
      <c r="BC93" s="12">
        <v>10</v>
      </c>
      <c r="BD93" s="12">
        <v>10</v>
      </c>
      <c r="BE93" s="12">
        <v>10</v>
      </c>
      <c r="BF93" s="12">
        <v>5</v>
      </c>
      <c r="BG93" s="12">
        <v>10</v>
      </c>
      <c r="BH93" s="12">
        <v>5</v>
      </c>
      <c r="BI93" s="12">
        <v>5</v>
      </c>
      <c r="BJ93" s="12">
        <v>5</v>
      </c>
      <c r="BK93" s="12">
        <v>5</v>
      </c>
      <c r="BL93" s="12">
        <v>5</v>
      </c>
      <c r="BM93" s="12">
        <v>5</v>
      </c>
      <c r="BN93" s="12">
        <v>5</v>
      </c>
      <c r="BO93" s="12">
        <v>5</v>
      </c>
      <c r="BP93" s="12">
        <v>5</v>
      </c>
      <c r="BQ93" s="12">
        <v>5</v>
      </c>
      <c r="BR93" s="12">
        <v>10</v>
      </c>
      <c r="BS93" s="12">
        <v>10</v>
      </c>
      <c r="BT93" s="12">
        <v>10</v>
      </c>
      <c r="BU93" s="12">
        <v>5</v>
      </c>
      <c r="BV93" s="12">
        <v>5</v>
      </c>
      <c r="BX93" s="12">
        <v>5</v>
      </c>
      <c r="BY93" s="12">
        <v>5</v>
      </c>
      <c r="BZ93" s="12">
        <v>5</v>
      </c>
      <c r="CA93" s="12">
        <v>5</v>
      </c>
      <c r="CB93" s="12">
        <v>5</v>
      </c>
      <c r="CC93" s="12">
        <v>5</v>
      </c>
      <c r="CD93" s="12">
        <v>5</v>
      </c>
      <c r="CE93" s="12">
        <v>10</v>
      </c>
      <c r="CF93" s="12">
        <v>5</v>
      </c>
      <c r="CG93" s="12">
        <v>5</v>
      </c>
      <c r="CH93" s="12">
        <v>5</v>
      </c>
      <c r="CI93" s="12">
        <v>5</v>
      </c>
      <c r="CJ93" s="12">
        <v>5</v>
      </c>
      <c r="CK93" s="12">
        <v>5</v>
      </c>
      <c r="CL93" s="12">
        <v>5</v>
      </c>
      <c r="CM93" s="12">
        <v>5</v>
      </c>
      <c r="CN93" s="12">
        <v>5</v>
      </c>
      <c r="CO93" s="12">
        <v>5</v>
      </c>
      <c r="CP93" s="12">
        <v>5</v>
      </c>
      <c r="CQ93" s="12">
        <v>5</v>
      </c>
      <c r="CX93" s="12">
        <v>5</v>
      </c>
      <c r="CY93" s="12">
        <v>5</v>
      </c>
      <c r="CZ93" s="12">
        <v>5</v>
      </c>
      <c r="DB93" s="12">
        <v>5</v>
      </c>
      <c r="DC93" s="12">
        <v>5</v>
      </c>
      <c r="DD93" s="12">
        <v>5</v>
      </c>
      <c r="DQ93" s="35">
        <v>90</v>
      </c>
      <c r="DR93" s="32">
        <v>65</v>
      </c>
      <c r="DS93" s="73">
        <v>90</v>
      </c>
      <c r="DT93" s="71">
        <v>25</v>
      </c>
      <c r="DU93" s="21">
        <v>155</v>
      </c>
      <c r="DV93" s="31">
        <f t="shared" si="117"/>
        <v>190</v>
      </c>
      <c r="DW93" s="30">
        <f t="shared" si="118"/>
        <v>330</v>
      </c>
      <c r="DX93" s="36">
        <v>25</v>
      </c>
      <c r="DY93" s="23">
        <v>135</v>
      </c>
      <c r="DZ93" s="12">
        <v>91</v>
      </c>
      <c r="EA93" s="12">
        <f t="shared" si="85"/>
        <v>403</v>
      </c>
      <c r="EB93" s="12">
        <f t="shared" si="86"/>
        <v>434</v>
      </c>
      <c r="EC93" s="12">
        <f t="shared" si="87"/>
        <v>424</v>
      </c>
      <c r="ED93" s="12">
        <f t="shared" si="88"/>
        <v>343</v>
      </c>
      <c r="EE93" s="12">
        <f t="shared" si="89"/>
        <v>272</v>
      </c>
      <c r="EF93" s="12">
        <f t="shared" si="90"/>
        <v>211</v>
      </c>
      <c r="EG93" s="12">
        <f t="shared" si="91"/>
        <v>201</v>
      </c>
      <c r="EH93" s="12">
        <f t="shared" si="92"/>
        <v>201</v>
      </c>
      <c r="EI93" s="12">
        <f t="shared" si="93"/>
        <v>191</v>
      </c>
      <c r="EJ93" s="12">
        <f t="shared" si="94"/>
        <v>181</v>
      </c>
      <c r="EK93" s="12">
        <f t="shared" si="95"/>
        <v>333</v>
      </c>
      <c r="EL93" s="12">
        <f t="shared" si="96"/>
        <v>201</v>
      </c>
      <c r="EM93" s="12">
        <f t="shared" si="97"/>
        <v>191</v>
      </c>
      <c r="EN93" s="12">
        <f t="shared" si="98"/>
        <v>252</v>
      </c>
      <c r="EO93" s="12">
        <f t="shared" si="99"/>
        <v>181</v>
      </c>
      <c r="EP93" s="12">
        <f t="shared" si="100"/>
        <v>171</v>
      </c>
      <c r="EQ93" s="12">
        <f t="shared" si="101"/>
        <v>161</v>
      </c>
      <c r="ER93" s="12">
        <f t="shared" si="102"/>
        <v>242</v>
      </c>
      <c r="ES93" s="12">
        <f t="shared" si="103"/>
        <v>222</v>
      </c>
      <c r="ET93" s="12">
        <f t="shared" si="104"/>
        <v>151</v>
      </c>
      <c r="EU93" s="12">
        <f t="shared" si="105"/>
        <v>212</v>
      </c>
      <c r="EV93" s="12">
        <f t="shared" si="106"/>
        <v>151</v>
      </c>
      <c r="EW93" s="12">
        <f t="shared" si="107"/>
        <v>131</v>
      </c>
      <c r="EX93" s="12">
        <f t="shared" si="108"/>
        <v>121</v>
      </c>
      <c r="EY93" s="12">
        <f t="shared" si="109"/>
        <v>101</v>
      </c>
      <c r="EZ93" s="12">
        <v>93</v>
      </c>
      <c r="FH93" s="12">
        <v>4050000</v>
      </c>
      <c r="FI93" s="12">
        <v>91</v>
      </c>
      <c r="FJ93" s="12">
        <v>4050000</v>
      </c>
    </row>
    <row r="94" spans="1:166" ht="13.35" customHeight="1" x14ac:dyDescent="0.2">
      <c r="A94" s="21">
        <f t="shared" si="115"/>
        <v>93</v>
      </c>
      <c r="B94" s="22">
        <f t="shared" si="120"/>
        <v>6</v>
      </c>
      <c r="C94" s="21">
        <f t="shared" si="121"/>
        <v>99</v>
      </c>
      <c r="D94" s="12">
        <v>37</v>
      </c>
      <c r="E94" s="27" t="s">
        <v>745</v>
      </c>
      <c r="K94" s="12">
        <v>5</v>
      </c>
      <c r="L94" s="12">
        <v>5</v>
      </c>
      <c r="M94" s="12">
        <v>5</v>
      </c>
      <c r="N94" s="12">
        <v>5</v>
      </c>
      <c r="O94" s="12">
        <v>5</v>
      </c>
      <c r="P94" s="12">
        <v>5</v>
      </c>
      <c r="Q94" s="12">
        <v>5</v>
      </c>
      <c r="R94" s="12">
        <v>5</v>
      </c>
      <c r="S94" s="12">
        <v>5</v>
      </c>
      <c r="AA94" s="12">
        <v>5</v>
      </c>
      <c r="AB94" s="12">
        <v>5</v>
      </c>
      <c r="AD94" s="12">
        <v>5</v>
      </c>
      <c r="AF94" s="12">
        <v>5</v>
      </c>
      <c r="AG94" s="12">
        <v>5</v>
      </c>
      <c r="AK94" s="12">
        <v>5</v>
      </c>
      <c r="AL94" s="12">
        <v>5</v>
      </c>
      <c r="AM94" s="12">
        <v>5</v>
      </c>
      <c r="AO94" s="12">
        <v>5</v>
      </c>
      <c r="AP94" s="12">
        <v>5</v>
      </c>
      <c r="AS94" s="12">
        <v>5</v>
      </c>
      <c r="AT94" s="12">
        <v>5</v>
      </c>
      <c r="AU94" s="12">
        <v>5</v>
      </c>
      <c r="AV94" s="12">
        <v>5</v>
      </c>
      <c r="AW94" s="12">
        <v>5</v>
      </c>
      <c r="AX94" s="12">
        <v>5</v>
      </c>
      <c r="AY94" s="12">
        <v>5</v>
      </c>
      <c r="AZ94" s="12">
        <v>5</v>
      </c>
      <c r="BA94" s="12">
        <v>5</v>
      </c>
      <c r="BB94" s="12">
        <v>5</v>
      </c>
      <c r="BC94" s="12">
        <v>10</v>
      </c>
      <c r="BD94" s="12">
        <v>10</v>
      </c>
      <c r="BE94" s="12">
        <v>10</v>
      </c>
      <c r="BF94" s="12">
        <v>5</v>
      </c>
      <c r="BG94" s="12">
        <v>10</v>
      </c>
      <c r="BH94" s="12">
        <v>5</v>
      </c>
      <c r="BI94" s="12">
        <v>5</v>
      </c>
      <c r="BJ94" s="12">
        <v>5</v>
      </c>
      <c r="BK94" s="12">
        <v>5</v>
      </c>
      <c r="BL94" s="12">
        <v>5</v>
      </c>
      <c r="BM94" s="12">
        <v>5</v>
      </c>
      <c r="BN94" s="12">
        <v>5</v>
      </c>
      <c r="BO94" s="12">
        <v>5</v>
      </c>
      <c r="BP94" s="12">
        <v>5</v>
      </c>
      <c r="BQ94" s="12">
        <v>5</v>
      </c>
      <c r="BR94" s="12">
        <v>10</v>
      </c>
      <c r="BS94" s="12">
        <v>10</v>
      </c>
      <c r="BT94" s="12">
        <v>10</v>
      </c>
      <c r="BU94" s="12">
        <v>5</v>
      </c>
      <c r="BV94" s="12">
        <v>5</v>
      </c>
      <c r="BX94" s="12">
        <v>5</v>
      </c>
      <c r="BY94" s="12">
        <v>5</v>
      </c>
      <c r="BZ94" s="12">
        <v>5</v>
      </c>
      <c r="CA94" s="12">
        <v>5</v>
      </c>
      <c r="CB94" s="12">
        <v>5</v>
      </c>
      <c r="CC94" s="12">
        <v>5</v>
      </c>
      <c r="CD94" s="12">
        <v>5</v>
      </c>
      <c r="CE94" s="12">
        <v>10</v>
      </c>
      <c r="CF94" s="12">
        <v>5</v>
      </c>
      <c r="CG94" s="12">
        <v>5</v>
      </c>
      <c r="CH94" s="12">
        <v>5</v>
      </c>
      <c r="CI94" s="12">
        <v>5</v>
      </c>
      <c r="CJ94" s="12">
        <v>5</v>
      </c>
      <c r="CK94" s="12">
        <v>5</v>
      </c>
      <c r="CL94" s="12">
        <v>5</v>
      </c>
      <c r="CM94" s="12">
        <v>5</v>
      </c>
      <c r="CN94" s="12">
        <v>5</v>
      </c>
      <c r="CO94" s="12">
        <v>5</v>
      </c>
      <c r="CP94" s="12">
        <v>5</v>
      </c>
      <c r="CQ94" s="12">
        <v>5</v>
      </c>
      <c r="CX94" s="12">
        <v>5</v>
      </c>
      <c r="CY94" s="12">
        <v>5</v>
      </c>
      <c r="CZ94" s="12">
        <v>5</v>
      </c>
      <c r="DB94" s="12">
        <v>5</v>
      </c>
      <c r="DC94" s="12">
        <v>5</v>
      </c>
      <c r="DD94" s="12">
        <v>5</v>
      </c>
      <c r="DQ94" s="35">
        <v>91</v>
      </c>
      <c r="DR94" s="32">
        <v>66</v>
      </c>
      <c r="DS94" s="73">
        <v>91</v>
      </c>
      <c r="DT94" s="71">
        <v>25</v>
      </c>
      <c r="DU94" s="21">
        <v>156</v>
      </c>
      <c r="DV94" s="31">
        <f t="shared" si="117"/>
        <v>191</v>
      </c>
      <c r="DW94" s="30">
        <f t="shared" si="118"/>
        <v>333</v>
      </c>
      <c r="DX94" s="36">
        <v>25</v>
      </c>
      <c r="DY94" s="23">
        <v>135.5</v>
      </c>
      <c r="DZ94" s="12">
        <v>92</v>
      </c>
      <c r="EA94" s="12">
        <f t="shared" si="85"/>
        <v>406</v>
      </c>
      <c r="EB94" s="12">
        <f t="shared" si="86"/>
        <v>438</v>
      </c>
      <c r="EC94" s="12">
        <f t="shared" si="87"/>
        <v>428</v>
      </c>
      <c r="ED94" s="12">
        <f t="shared" si="88"/>
        <v>346</v>
      </c>
      <c r="EE94" s="12">
        <f t="shared" si="89"/>
        <v>274</v>
      </c>
      <c r="EF94" s="12">
        <f t="shared" si="90"/>
        <v>212</v>
      </c>
      <c r="EG94" s="12">
        <f t="shared" si="91"/>
        <v>202</v>
      </c>
      <c r="EH94" s="12">
        <f t="shared" si="92"/>
        <v>202</v>
      </c>
      <c r="EI94" s="12">
        <f t="shared" si="93"/>
        <v>192</v>
      </c>
      <c r="EJ94" s="12">
        <f t="shared" si="94"/>
        <v>182</v>
      </c>
      <c r="EK94" s="12">
        <f t="shared" si="95"/>
        <v>336</v>
      </c>
      <c r="EL94" s="12">
        <f t="shared" si="96"/>
        <v>202</v>
      </c>
      <c r="EM94" s="12">
        <f t="shared" si="97"/>
        <v>192</v>
      </c>
      <c r="EN94" s="12">
        <f t="shared" si="98"/>
        <v>254</v>
      </c>
      <c r="EO94" s="12">
        <f t="shared" si="99"/>
        <v>182</v>
      </c>
      <c r="EP94" s="12">
        <f t="shared" si="100"/>
        <v>172</v>
      </c>
      <c r="EQ94" s="12">
        <f t="shared" si="101"/>
        <v>162</v>
      </c>
      <c r="ER94" s="12">
        <f t="shared" si="102"/>
        <v>244</v>
      </c>
      <c r="ES94" s="12">
        <f t="shared" si="103"/>
        <v>224</v>
      </c>
      <c r="ET94" s="12">
        <f t="shared" si="104"/>
        <v>152</v>
      </c>
      <c r="EU94" s="12">
        <f t="shared" si="105"/>
        <v>214</v>
      </c>
      <c r="EV94" s="12">
        <f t="shared" si="106"/>
        <v>152</v>
      </c>
      <c r="EW94" s="12">
        <f t="shared" si="107"/>
        <v>132</v>
      </c>
      <c r="EX94" s="12">
        <f t="shared" si="108"/>
        <v>122</v>
      </c>
      <c r="EY94" s="12">
        <f t="shared" si="109"/>
        <v>102</v>
      </c>
      <c r="EZ94" s="12">
        <v>94</v>
      </c>
      <c r="FH94" s="12">
        <v>4100000</v>
      </c>
      <c r="FI94" s="12">
        <v>92</v>
      </c>
      <c r="FJ94" s="12">
        <v>4100000</v>
      </c>
    </row>
    <row r="95" spans="1:166" ht="13.35" customHeight="1" x14ac:dyDescent="0.2">
      <c r="A95" s="21">
        <f t="shared" si="115"/>
        <v>94</v>
      </c>
      <c r="B95" s="22">
        <f t="shared" si="120"/>
        <v>7</v>
      </c>
      <c r="C95" s="21">
        <f t="shared" si="121"/>
        <v>106</v>
      </c>
      <c r="D95" s="12">
        <v>38</v>
      </c>
      <c r="E95" s="27" t="s">
        <v>743</v>
      </c>
      <c r="K95" s="12">
        <v>5</v>
      </c>
      <c r="L95" s="12">
        <v>5</v>
      </c>
      <c r="M95" s="12">
        <v>5</v>
      </c>
      <c r="N95" s="12">
        <v>5</v>
      </c>
      <c r="O95" s="12">
        <v>5</v>
      </c>
      <c r="P95" s="12">
        <v>5</v>
      </c>
      <c r="Q95" s="12">
        <v>5</v>
      </c>
      <c r="R95" s="12">
        <v>5</v>
      </c>
      <c r="S95" s="12">
        <v>5</v>
      </c>
      <c r="AA95" s="12">
        <v>5</v>
      </c>
      <c r="AB95" s="12">
        <v>5</v>
      </c>
      <c r="AD95" s="12">
        <v>5</v>
      </c>
      <c r="AF95" s="12">
        <v>5</v>
      </c>
      <c r="AG95" s="12">
        <v>5</v>
      </c>
      <c r="AK95" s="12">
        <v>5</v>
      </c>
      <c r="AL95" s="12">
        <v>5</v>
      </c>
      <c r="AM95" s="12">
        <v>5</v>
      </c>
      <c r="AO95" s="12">
        <v>5</v>
      </c>
      <c r="AP95" s="12">
        <v>5</v>
      </c>
      <c r="AS95" s="12">
        <v>5</v>
      </c>
      <c r="AT95" s="12">
        <v>5</v>
      </c>
      <c r="AU95" s="12">
        <v>5</v>
      </c>
      <c r="AV95" s="12">
        <v>5</v>
      </c>
      <c r="AW95" s="12">
        <v>5</v>
      </c>
      <c r="AX95" s="12">
        <v>5</v>
      </c>
      <c r="AY95" s="12">
        <v>5</v>
      </c>
      <c r="AZ95" s="12">
        <v>5</v>
      </c>
      <c r="BA95" s="12">
        <v>5</v>
      </c>
      <c r="BB95" s="12">
        <v>5</v>
      </c>
      <c r="BC95" s="12">
        <v>10</v>
      </c>
      <c r="BD95" s="12">
        <v>10</v>
      </c>
      <c r="BE95" s="12">
        <v>10</v>
      </c>
      <c r="BF95" s="12">
        <v>5</v>
      </c>
      <c r="BG95" s="12">
        <v>10</v>
      </c>
      <c r="BH95" s="12">
        <v>5</v>
      </c>
      <c r="BI95" s="12">
        <v>5</v>
      </c>
      <c r="BJ95" s="12">
        <v>5</v>
      </c>
      <c r="BK95" s="12">
        <v>5</v>
      </c>
      <c r="BL95" s="12">
        <v>5</v>
      </c>
      <c r="BM95" s="12">
        <v>5</v>
      </c>
      <c r="BN95" s="12">
        <v>5</v>
      </c>
      <c r="BO95" s="12">
        <v>5</v>
      </c>
      <c r="BP95" s="12">
        <v>5</v>
      </c>
      <c r="BQ95" s="12">
        <v>5</v>
      </c>
      <c r="BR95" s="12">
        <v>10</v>
      </c>
      <c r="BS95" s="12">
        <v>10</v>
      </c>
      <c r="BT95" s="12">
        <v>10</v>
      </c>
      <c r="BU95" s="12">
        <v>5</v>
      </c>
      <c r="BV95" s="12">
        <v>5</v>
      </c>
      <c r="BX95" s="12">
        <v>5</v>
      </c>
      <c r="BY95" s="12">
        <v>5</v>
      </c>
      <c r="BZ95" s="12">
        <v>5</v>
      </c>
      <c r="CA95" s="12">
        <v>5</v>
      </c>
      <c r="CB95" s="12">
        <v>5</v>
      </c>
      <c r="CC95" s="12">
        <v>5</v>
      </c>
      <c r="CD95" s="12">
        <v>5</v>
      </c>
      <c r="CE95" s="12">
        <v>10</v>
      </c>
      <c r="CF95" s="12">
        <v>5</v>
      </c>
      <c r="CG95" s="12">
        <v>5</v>
      </c>
      <c r="CH95" s="12">
        <v>5</v>
      </c>
      <c r="CI95" s="12">
        <v>5</v>
      </c>
      <c r="CJ95" s="12">
        <v>5</v>
      </c>
      <c r="CK95" s="12">
        <v>5</v>
      </c>
      <c r="CL95" s="12">
        <v>5</v>
      </c>
      <c r="CM95" s="12">
        <v>5</v>
      </c>
      <c r="CN95" s="12">
        <v>5</v>
      </c>
      <c r="CO95" s="12">
        <v>5</v>
      </c>
      <c r="CP95" s="12">
        <v>5</v>
      </c>
      <c r="CQ95" s="12">
        <v>5</v>
      </c>
      <c r="CX95" s="12">
        <v>5</v>
      </c>
      <c r="CY95" s="12">
        <v>5</v>
      </c>
      <c r="CZ95" s="12">
        <v>5</v>
      </c>
      <c r="DB95" s="12">
        <v>5</v>
      </c>
      <c r="DC95" s="12">
        <v>5</v>
      </c>
      <c r="DD95" s="12">
        <v>5</v>
      </c>
      <c r="DQ95" s="35">
        <v>92</v>
      </c>
      <c r="DR95" s="32">
        <v>66</v>
      </c>
      <c r="DS95" s="73">
        <v>91</v>
      </c>
      <c r="DT95" s="71">
        <v>25</v>
      </c>
      <c r="DU95" s="21">
        <v>157</v>
      </c>
      <c r="DV95" s="31">
        <f t="shared" si="117"/>
        <v>192</v>
      </c>
      <c r="DW95" s="30">
        <f t="shared" si="118"/>
        <v>336</v>
      </c>
      <c r="DX95" s="36">
        <v>25</v>
      </c>
      <c r="DY95" s="23">
        <v>136</v>
      </c>
      <c r="DZ95" s="12">
        <v>93</v>
      </c>
      <c r="EA95" s="12">
        <f t="shared" si="85"/>
        <v>409</v>
      </c>
      <c r="EB95" s="12">
        <f t="shared" si="86"/>
        <v>442</v>
      </c>
      <c r="EC95" s="12">
        <f t="shared" si="87"/>
        <v>432</v>
      </c>
      <c r="ED95" s="12">
        <f t="shared" si="88"/>
        <v>349</v>
      </c>
      <c r="EE95" s="12">
        <f t="shared" si="89"/>
        <v>276</v>
      </c>
      <c r="EF95" s="12">
        <f t="shared" si="90"/>
        <v>213</v>
      </c>
      <c r="EG95" s="12">
        <f t="shared" si="91"/>
        <v>203</v>
      </c>
      <c r="EH95" s="12">
        <f t="shared" si="92"/>
        <v>203</v>
      </c>
      <c r="EI95" s="12">
        <f t="shared" si="93"/>
        <v>193</v>
      </c>
      <c r="EJ95" s="12">
        <f t="shared" si="94"/>
        <v>183</v>
      </c>
      <c r="EK95" s="12">
        <f t="shared" si="95"/>
        <v>339</v>
      </c>
      <c r="EL95" s="12">
        <f t="shared" si="96"/>
        <v>203</v>
      </c>
      <c r="EM95" s="12">
        <f t="shared" si="97"/>
        <v>193</v>
      </c>
      <c r="EN95" s="12">
        <f t="shared" si="98"/>
        <v>256</v>
      </c>
      <c r="EO95" s="12">
        <f t="shared" si="99"/>
        <v>183</v>
      </c>
      <c r="EP95" s="12">
        <f t="shared" si="100"/>
        <v>173</v>
      </c>
      <c r="EQ95" s="12">
        <f t="shared" si="101"/>
        <v>163</v>
      </c>
      <c r="ER95" s="12">
        <f t="shared" si="102"/>
        <v>246</v>
      </c>
      <c r="ES95" s="12">
        <f t="shared" si="103"/>
        <v>226</v>
      </c>
      <c r="ET95" s="12">
        <f t="shared" si="104"/>
        <v>153</v>
      </c>
      <c r="EU95" s="12">
        <f t="shared" si="105"/>
        <v>216</v>
      </c>
      <c r="EV95" s="12">
        <f t="shared" si="106"/>
        <v>153</v>
      </c>
      <c r="EW95" s="12">
        <f t="shared" si="107"/>
        <v>133</v>
      </c>
      <c r="EX95" s="12">
        <f t="shared" si="108"/>
        <v>123</v>
      </c>
      <c r="EY95" s="12">
        <f t="shared" si="109"/>
        <v>103</v>
      </c>
      <c r="EZ95" s="12">
        <v>95</v>
      </c>
      <c r="FH95" s="12">
        <v>4150000</v>
      </c>
      <c r="FI95" s="12">
        <v>93</v>
      </c>
      <c r="FJ95" s="12">
        <v>4150000</v>
      </c>
    </row>
    <row r="96" spans="1:166" ht="13.35" customHeight="1" x14ac:dyDescent="0.2">
      <c r="A96" s="21">
        <f t="shared" si="115"/>
        <v>95</v>
      </c>
      <c r="B96" s="22">
        <f t="shared" si="120"/>
        <v>7</v>
      </c>
      <c r="C96" s="21">
        <f t="shared" si="121"/>
        <v>115</v>
      </c>
      <c r="D96" s="12">
        <v>39</v>
      </c>
      <c r="E96" s="27" t="s">
        <v>744</v>
      </c>
      <c r="K96" s="12">
        <v>5</v>
      </c>
      <c r="L96" s="12">
        <v>5</v>
      </c>
      <c r="M96" s="12">
        <v>5</v>
      </c>
      <c r="N96" s="12">
        <v>5</v>
      </c>
      <c r="O96" s="12">
        <v>5</v>
      </c>
      <c r="P96" s="12">
        <v>5</v>
      </c>
      <c r="Q96" s="12">
        <v>5</v>
      </c>
      <c r="R96" s="12">
        <v>5</v>
      </c>
      <c r="S96" s="12">
        <v>5</v>
      </c>
      <c r="AA96" s="12">
        <v>5</v>
      </c>
      <c r="AB96" s="12">
        <v>5</v>
      </c>
      <c r="AD96" s="12">
        <v>5</v>
      </c>
      <c r="AF96" s="12">
        <v>5</v>
      </c>
      <c r="AG96" s="12">
        <v>5</v>
      </c>
      <c r="AK96" s="12">
        <v>5</v>
      </c>
      <c r="AL96" s="12">
        <v>5</v>
      </c>
      <c r="AM96" s="12">
        <v>5</v>
      </c>
      <c r="AO96" s="12">
        <v>5</v>
      </c>
      <c r="AP96" s="12">
        <v>5</v>
      </c>
      <c r="AS96" s="12">
        <v>5</v>
      </c>
      <c r="AT96" s="12">
        <v>5</v>
      </c>
      <c r="AU96" s="12">
        <v>5</v>
      </c>
      <c r="AV96" s="12">
        <v>5</v>
      </c>
      <c r="AW96" s="12">
        <v>5</v>
      </c>
      <c r="AX96" s="12">
        <v>5</v>
      </c>
      <c r="AY96" s="12">
        <v>5</v>
      </c>
      <c r="AZ96" s="12">
        <v>5</v>
      </c>
      <c r="BA96" s="12">
        <v>5</v>
      </c>
      <c r="BB96" s="12">
        <v>5</v>
      </c>
      <c r="BC96" s="12">
        <v>10</v>
      </c>
      <c r="BD96" s="12">
        <v>10</v>
      </c>
      <c r="BE96" s="12">
        <v>10</v>
      </c>
      <c r="BF96" s="12">
        <v>5</v>
      </c>
      <c r="BG96" s="12">
        <v>10</v>
      </c>
      <c r="BH96" s="12">
        <v>5</v>
      </c>
      <c r="BI96" s="12">
        <v>5</v>
      </c>
      <c r="BJ96" s="12">
        <v>5</v>
      </c>
      <c r="BK96" s="12">
        <v>5</v>
      </c>
      <c r="BL96" s="12">
        <v>5</v>
      </c>
      <c r="BM96" s="12">
        <v>5</v>
      </c>
      <c r="BN96" s="12">
        <v>5</v>
      </c>
      <c r="BO96" s="12">
        <v>5</v>
      </c>
      <c r="BP96" s="12">
        <v>5</v>
      </c>
      <c r="BQ96" s="12">
        <v>5</v>
      </c>
      <c r="BR96" s="12">
        <v>10</v>
      </c>
      <c r="BS96" s="12">
        <v>10</v>
      </c>
      <c r="BT96" s="12">
        <v>10</v>
      </c>
      <c r="BU96" s="12">
        <v>5</v>
      </c>
      <c r="BV96" s="12">
        <v>5</v>
      </c>
      <c r="BX96" s="12">
        <v>5</v>
      </c>
      <c r="BY96" s="12">
        <v>5</v>
      </c>
      <c r="BZ96" s="12">
        <v>5</v>
      </c>
      <c r="CA96" s="12">
        <v>5</v>
      </c>
      <c r="CB96" s="12">
        <v>5</v>
      </c>
      <c r="CC96" s="12">
        <v>5</v>
      </c>
      <c r="CD96" s="12">
        <v>5</v>
      </c>
      <c r="CE96" s="12">
        <v>10</v>
      </c>
      <c r="CF96" s="12">
        <v>5</v>
      </c>
      <c r="CG96" s="12">
        <v>5</v>
      </c>
      <c r="CH96" s="12">
        <v>5</v>
      </c>
      <c r="CI96" s="12">
        <v>5</v>
      </c>
      <c r="CJ96" s="12">
        <v>5</v>
      </c>
      <c r="CK96" s="12">
        <v>5</v>
      </c>
      <c r="CL96" s="12">
        <v>5</v>
      </c>
      <c r="CM96" s="12">
        <v>5</v>
      </c>
      <c r="CN96" s="12">
        <v>5</v>
      </c>
      <c r="CO96" s="12">
        <v>5</v>
      </c>
      <c r="CP96" s="12">
        <v>5</v>
      </c>
      <c r="CQ96" s="12">
        <v>5</v>
      </c>
      <c r="CX96" s="12">
        <v>5</v>
      </c>
      <c r="CY96" s="12">
        <v>5</v>
      </c>
      <c r="CZ96" s="12">
        <v>5</v>
      </c>
      <c r="DB96" s="12">
        <v>5</v>
      </c>
      <c r="DC96" s="12">
        <v>5</v>
      </c>
      <c r="DD96" s="12">
        <v>5</v>
      </c>
      <c r="DQ96" s="35">
        <v>93</v>
      </c>
      <c r="DR96" s="32">
        <v>67</v>
      </c>
      <c r="DS96" s="73">
        <v>92</v>
      </c>
      <c r="DT96" s="71">
        <v>25</v>
      </c>
      <c r="DU96" s="21">
        <v>158</v>
      </c>
      <c r="DV96" s="31">
        <f t="shared" si="117"/>
        <v>193</v>
      </c>
      <c r="DW96" s="30">
        <f t="shared" si="118"/>
        <v>339</v>
      </c>
      <c r="DX96" s="36">
        <v>25</v>
      </c>
      <c r="DY96" s="23">
        <v>136.5</v>
      </c>
      <c r="DZ96" s="12">
        <v>94</v>
      </c>
      <c r="EA96" s="12">
        <f t="shared" si="85"/>
        <v>412</v>
      </c>
      <c r="EB96" s="12">
        <f t="shared" si="86"/>
        <v>446</v>
      </c>
      <c r="EC96" s="12">
        <f t="shared" si="87"/>
        <v>436</v>
      </c>
      <c r="ED96" s="12">
        <f t="shared" si="88"/>
        <v>352</v>
      </c>
      <c r="EE96" s="12">
        <f t="shared" si="89"/>
        <v>278</v>
      </c>
      <c r="EF96" s="12">
        <f t="shared" si="90"/>
        <v>214</v>
      </c>
      <c r="EG96" s="12">
        <f t="shared" si="91"/>
        <v>204</v>
      </c>
      <c r="EH96" s="12">
        <f t="shared" si="92"/>
        <v>204</v>
      </c>
      <c r="EI96" s="12">
        <f t="shared" si="93"/>
        <v>194</v>
      </c>
      <c r="EJ96" s="12">
        <f t="shared" si="94"/>
        <v>184</v>
      </c>
      <c r="EK96" s="12">
        <f t="shared" si="95"/>
        <v>342</v>
      </c>
      <c r="EL96" s="12">
        <f t="shared" si="96"/>
        <v>204</v>
      </c>
      <c r="EM96" s="12">
        <f t="shared" si="97"/>
        <v>194</v>
      </c>
      <c r="EN96" s="12">
        <f t="shared" si="98"/>
        <v>258</v>
      </c>
      <c r="EO96" s="12">
        <f t="shared" si="99"/>
        <v>184</v>
      </c>
      <c r="EP96" s="12">
        <f t="shared" si="100"/>
        <v>174</v>
      </c>
      <c r="EQ96" s="12">
        <f t="shared" si="101"/>
        <v>164</v>
      </c>
      <c r="ER96" s="12">
        <f t="shared" si="102"/>
        <v>248</v>
      </c>
      <c r="ES96" s="12">
        <f t="shared" si="103"/>
        <v>228</v>
      </c>
      <c r="ET96" s="12">
        <f t="shared" si="104"/>
        <v>154</v>
      </c>
      <c r="EU96" s="12">
        <f t="shared" si="105"/>
        <v>218</v>
      </c>
      <c r="EV96" s="12">
        <f t="shared" si="106"/>
        <v>154</v>
      </c>
      <c r="EW96" s="12">
        <f t="shared" si="107"/>
        <v>134</v>
      </c>
      <c r="EX96" s="12">
        <f t="shared" si="108"/>
        <v>124</v>
      </c>
      <c r="EY96" s="12">
        <f t="shared" si="109"/>
        <v>104</v>
      </c>
      <c r="EZ96" s="12">
        <v>96</v>
      </c>
      <c r="FH96" s="12">
        <v>4200000</v>
      </c>
      <c r="FI96" s="12">
        <v>94</v>
      </c>
      <c r="FJ96" s="12">
        <v>4200000</v>
      </c>
    </row>
    <row r="97" spans="1:166" ht="13.35" customHeight="1" x14ac:dyDescent="0.2">
      <c r="A97" s="21">
        <f t="shared" si="115"/>
        <v>96</v>
      </c>
      <c r="B97" s="22">
        <f t="shared" si="120"/>
        <v>8</v>
      </c>
      <c r="C97" s="21">
        <f t="shared" si="121"/>
        <v>126</v>
      </c>
      <c r="D97" s="12">
        <v>40</v>
      </c>
      <c r="E97" s="27" t="s">
        <v>731</v>
      </c>
      <c r="K97" s="12">
        <v>5</v>
      </c>
      <c r="L97" s="12">
        <v>5</v>
      </c>
      <c r="M97" s="12">
        <v>5</v>
      </c>
      <c r="N97" s="12">
        <v>5</v>
      </c>
      <c r="O97" s="12">
        <v>5</v>
      </c>
      <c r="P97" s="12">
        <v>5</v>
      </c>
      <c r="Q97" s="12">
        <v>5</v>
      </c>
      <c r="R97" s="12">
        <v>5</v>
      </c>
      <c r="S97" s="12">
        <v>5</v>
      </c>
      <c r="AA97" s="12">
        <v>5</v>
      </c>
      <c r="AB97" s="12">
        <v>5</v>
      </c>
      <c r="AD97" s="12">
        <v>5</v>
      </c>
      <c r="AF97" s="12">
        <v>5</v>
      </c>
      <c r="AG97" s="12">
        <v>5</v>
      </c>
      <c r="AK97" s="12">
        <v>5</v>
      </c>
      <c r="AL97" s="12">
        <v>5</v>
      </c>
      <c r="AM97" s="12">
        <v>5</v>
      </c>
      <c r="AO97" s="12">
        <v>5</v>
      </c>
      <c r="AP97" s="12">
        <v>5</v>
      </c>
      <c r="AS97" s="12">
        <v>5</v>
      </c>
      <c r="AT97" s="12">
        <v>5</v>
      </c>
      <c r="AU97" s="12">
        <v>5</v>
      </c>
      <c r="AV97" s="12">
        <v>5</v>
      </c>
      <c r="AW97" s="12">
        <v>5</v>
      </c>
      <c r="AX97" s="12">
        <v>5</v>
      </c>
      <c r="AY97" s="12">
        <v>5</v>
      </c>
      <c r="AZ97" s="12">
        <v>5</v>
      </c>
      <c r="BA97" s="12">
        <v>5</v>
      </c>
      <c r="BB97" s="12">
        <v>5</v>
      </c>
      <c r="BC97" s="12">
        <v>10</v>
      </c>
      <c r="BD97" s="12">
        <v>10</v>
      </c>
      <c r="BE97" s="12">
        <v>10</v>
      </c>
      <c r="BF97" s="12">
        <v>5</v>
      </c>
      <c r="BG97" s="12">
        <v>10</v>
      </c>
      <c r="BH97" s="12">
        <v>5</v>
      </c>
      <c r="BI97" s="12">
        <v>5</v>
      </c>
      <c r="BJ97" s="12">
        <v>5</v>
      </c>
      <c r="BK97" s="12">
        <v>5</v>
      </c>
      <c r="BL97" s="12">
        <v>5</v>
      </c>
      <c r="BM97" s="12">
        <v>5</v>
      </c>
      <c r="BN97" s="12">
        <v>5</v>
      </c>
      <c r="BO97" s="12">
        <v>5</v>
      </c>
      <c r="BP97" s="12">
        <v>5</v>
      </c>
      <c r="BQ97" s="12">
        <v>5</v>
      </c>
      <c r="BR97" s="12">
        <v>10</v>
      </c>
      <c r="BS97" s="12">
        <v>10</v>
      </c>
      <c r="BT97" s="12">
        <v>10</v>
      </c>
      <c r="BU97" s="12">
        <v>5</v>
      </c>
      <c r="BV97" s="12">
        <v>5</v>
      </c>
      <c r="BX97" s="12">
        <v>5</v>
      </c>
      <c r="BY97" s="12">
        <v>5</v>
      </c>
      <c r="BZ97" s="12">
        <v>5</v>
      </c>
      <c r="CA97" s="12">
        <v>5</v>
      </c>
      <c r="CB97" s="12">
        <v>5</v>
      </c>
      <c r="CC97" s="12">
        <v>5</v>
      </c>
      <c r="CD97" s="12">
        <v>5</v>
      </c>
      <c r="CE97" s="12">
        <v>10</v>
      </c>
      <c r="CF97" s="12">
        <v>5</v>
      </c>
      <c r="CG97" s="12">
        <v>5</v>
      </c>
      <c r="CH97" s="12">
        <v>5</v>
      </c>
      <c r="CI97" s="12">
        <v>5</v>
      </c>
      <c r="CJ97" s="12">
        <v>5</v>
      </c>
      <c r="CK97" s="12">
        <v>5</v>
      </c>
      <c r="CL97" s="12">
        <v>5</v>
      </c>
      <c r="CM97" s="12">
        <v>5</v>
      </c>
      <c r="CN97" s="12">
        <v>5</v>
      </c>
      <c r="CO97" s="12">
        <v>5</v>
      </c>
      <c r="CP97" s="12">
        <v>5</v>
      </c>
      <c r="CQ97" s="12">
        <v>5</v>
      </c>
      <c r="CX97" s="12">
        <v>5</v>
      </c>
      <c r="CY97" s="12">
        <v>5</v>
      </c>
      <c r="CZ97" s="12">
        <v>5</v>
      </c>
      <c r="DB97" s="12">
        <v>5</v>
      </c>
      <c r="DC97" s="12">
        <v>5</v>
      </c>
      <c r="DD97" s="12">
        <v>5</v>
      </c>
      <c r="DQ97" s="35">
        <v>94</v>
      </c>
      <c r="DR97" s="32">
        <v>67</v>
      </c>
      <c r="DS97" s="73">
        <v>92</v>
      </c>
      <c r="DT97" s="71">
        <v>25</v>
      </c>
      <c r="DU97" s="21">
        <v>159</v>
      </c>
      <c r="DV97" s="31">
        <f t="shared" si="117"/>
        <v>194</v>
      </c>
      <c r="DW97" s="30">
        <f t="shared" si="118"/>
        <v>342</v>
      </c>
      <c r="DX97" s="36">
        <v>25</v>
      </c>
      <c r="DY97" s="23">
        <v>137</v>
      </c>
      <c r="DZ97" s="12">
        <v>95</v>
      </c>
      <c r="EA97" s="12">
        <f t="shared" si="85"/>
        <v>415</v>
      </c>
      <c r="EB97" s="12">
        <f t="shared" si="86"/>
        <v>450</v>
      </c>
      <c r="EC97" s="12">
        <f t="shared" si="87"/>
        <v>440</v>
      </c>
      <c r="ED97" s="12">
        <f t="shared" si="88"/>
        <v>355</v>
      </c>
      <c r="EE97" s="12">
        <f t="shared" si="89"/>
        <v>280</v>
      </c>
      <c r="EF97" s="12">
        <f t="shared" si="90"/>
        <v>215</v>
      </c>
      <c r="EG97" s="12">
        <f t="shared" si="91"/>
        <v>205</v>
      </c>
      <c r="EH97" s="12">
        <f t="shared" si="92"/>
        <v>205</v>
      </c>
      <c r="EI97" s="12">
        <f t="shared" si="93"/>
        <v>195</v>
      </c>
      <c r="EJ97" s="12">
        <f t="shared" si="94"/>
        <v>185</v>
      </c>
      <c r="EK97" s="12">
        <f t="shared" si="95"/>
        <v>345</v>
      </c>
      <c r="EL97" s="12">
        <f t="shared" si="96"/>
        <v>205</v>
      </c>
      <c r="EM97" s="12">
        <f t="shared" si="97"/>
        <v>195</v>
      </c>
      <c r="EN97" s="12">
        <f t="shared" si="98"/>
        <v>260</v>
      </c>
      <c r="EO97" s="12">
        <f t="shared" si="99"/>
        <v>185</v>
      </c>
      <c r="EP97" s="12">
        <f t="shared" si="100"/>
        <v>175</v>
      </c>
      <c r="EQ97" s="12">
        <f t="shared" si="101"/>
        <v>165</v>
      </c>
      <c r="ER97" s="12">
        <f t="shared" si="102"/>
        <v>250</v>
      </c>
      <c r="ES97" s="12">
        <f t="shared" si="103"/>
        <v>230</v>
      </c>
      <c r="ET97" s="12">
        <f t="shared" si="104"/>
        <v>155</v>
      </c>
      <c r="EU97" s="12">
        <f t="shared" si="105"/>
        <v>220</v>
      </c>
      <c r="EV97" s="12">
        <f t="shared" si="106"/>
        <v>155</v>
      </c>
      <c r="EW97" s="12">
        <f t="shared" si="107"/>
        <v>135</v>
      </c>
      <c r="EX97" s="12">
        <f t="shared" si="108"/>
        <v>125</v>
      </c>
      <c r="EY97" s="12">
        <f t="shared" si="109"/>
        <v>105</v>
      </c>
      <c r="EZ97" s="12">
        <v>97</v>
      </c>
      <c r="FH97" s="12">
        <v>4250000</v>
      </c>
      <c r="FI97" s="12">
        <v>95</v>
      </c>
      <c r="FJ97" s="12">
        <v>4250000</v>
      </c>
    </row>
    <row r="98" spans="1:166" ht="13.35" customHeight="1" x14ac:dyDescent="0.2">
      <c r="A98" s="21">
        <f t="shared" si="115"/>
        <v>97</v>
      </c>
      <c r="B98" s="22">
        <f t="shared" si="120"/>
        <v>8</v>
      </c>
      <c r="C98" s="21">
        <f t="shared" si="121"/>
        <v>139</v>
      </c>
      <c r="D98" s="12">
        <v>41</v>
      </c>
      <c r="E98" s="27" t="s">
        <v>733</v>
      </c>
      <c r="K98" s="12">
        <v>5</v>
      </c>
      <c r="L98" s="12">
        <v>5</v>
      </c>
      <c r="M98" s="12">
        <v>5</v>
      </c>
      <c r="N98" s="12">
        <v>5</v>
      </c>
      <c r="O98" s="12">
        <v>5</v>
      </c>
      <c r="P98" s="12">
        <v>5</v>
      </c>
      <c r="Q98" s="12">
        <v>5</v>
      </c>
      <c r="R98" s="12">
        <v>5</v>
      </c>
      <c r="S98" s="12">
        <v>5</v>
      </c>
      <c r="AA98" s="12">
        <v>5</v>
      </c>
      <c r="AB98" s="12">
        <v>5</v>
      </c>
      <c r="AD98" s="12">
        <v>5</v>
      </c>
      <c r="AF98" s="12">
        <v>5</v>
      </c>
      <c r="AG98" s="12">
        <v>5</v>
      </c>
      <c r="AK98" s="12">
        <v>5</v>
      </c>
      <c r="AL98" s="12">
        <v>5</v>
      </c>
      <c r="AM98" s="12">
        <v>5</v>
      </c>
      <c r="AO98" s="12">
        <v>5</v>
      </c>
      <c r="AP98" s="12">
        <v>5</v>
      </c>
      <c r="AS98" s="12">
        <v>5</v>
      </c>
      <c r="AT98" s="12">
        <v>5</v>
      </c>
      <c r="AU98" s="12">
        <v>5</v>
      </c>
      <c r="AV98" s="12">
        <v>5</v>
      </c>
      <c r="AW98" s="12">
        <v>5</v>
      </c>
      <c r="AX98" s="12">
        <v>5</v>
      </c>
      <c r="AY98" s="12">
        <v>5</v>
      </c>
      <c r="AZ98" s="12">
        <v>5</v>
      </c>
      <c r="BA98" s="12">
        <v>5</v>
      </c>
      <c r="BB98" s="12">
        <v>5</v>
      </c>
      <c r="BC98" s="12">
        <v>10</v>
      </c>
      <c r="BD98" s="12">
        <v>10</v>
      </c>
      <c r="BE98" s="12">
        <v>10</v>
      </c>
      <c r="BF98" s="12">
        <v>5</v>
      </c>
      <c r="BG98" s="12">
        <v>10</v>
      </c>
      <c r="BH98" s="12">
        <v>5</v>
      </c>
      <c r="BI98" s="12">
        <v>5</v>
      </c>
      <c r="BJ98" s="12">
        <v>5</v>
      </c>
      <c r="BK98" s="12">
        <v>5</v>
      </c>
      <c r="BL98" s="12">
        <v>5</v>
      </c>
      <c r="BM98" s="12">
        <v>5</v>
      </c>
      <c r="BN98" s="12">
        <v>5</v>
      </c>
      <c r="BO98" s="12">
        <v>5</v>
      </c>
      <c r="BP98" s="12">
        <v>5</v>
      </c>
      <c r="BQ98" s="12">
        <v>5</v>
      </c>
      <c r="BR98" s="12">
        <v>10</v>
      </c>
      <c r="BS98" s="12">
        <v>10</v>
      </c>
      <c r="BT98" s="12">
        <v>10</v>
      </c>
      <c r="BU98" s="12">
        <v>5</v>
      </c>
      <c r="BV98" s="12">
        <v>5</v>
      </c>
      <c r="BX98" s="12">
        <v>5</v>
      </c>
      <c r="BY98" s="12">
        <v>5</v>
      </c>
      <c r="BZ98" s="12">
        <v>5</v>
      </c>
      <c r="CA98" s="12">
        <v>5</v>
      </c>
      <c r="CB98" s="12">
        <v>5</v>
      </c>
      <c r="CC98" s="12">
        <v>5</v>
      </c>
      <c r="CD98" s="12">
        <v>5</v>
      </c>
      <c r="CE98" s="12">
        <v>10</v>
      </c>
      <c r="CF98" s="12">
        <v>5</v>
      </c>
      <c r="CG98" s="12">
        <v>5</v>
      </c>
      <c r="CH98" s="12">
        <v>5</v>
      </c>
      <c r="CI98" s="12">
        <v>5</v>
      </c>
      <c r="CJ98" s="12">
        <v>5</v>
      </c>
      <c r="CK98" s="12">
        <v>5</v>
      </c>
      <c r="CL98" s="12">
        <v>5</v>
      </c>
      <c r="CM98" s="12">
        <v>5</v>
      </c>
      <c r="CN98" s="12">
        <v>5</v>
      </c>
      <c r="CO98" s="12">
        <v>5</v>
      </c>
      <c r="CP98" s="12">
        <v>5</v>
      </c>
      <c r="CQ98" s="12">
        <v>5</v>
      </c>
      <c r="CX98" s="12">
        <v>5</v>
      </c>
      <c r="CY98" s="12">
        <v>5</v>
      </c>
      <c r="CZ98" s="12">
        <v>5</v>
      </c>
      <c r="DB98" s="12">
        <v>5</v>
      </c>
      <c r="DC98" s="12">
        <v>5</v>
      </c>
      <c r="DD98" s="12">
        <v>5</v>
      </c>
      <c r="DQ98" s="35">
        <v>95</v>
      </c>
      <c r="DR98" s="32">
        <v>68</v>
      </c>
      <c r="DS98" s="73">
        <v>93</v>
      </c>
      <c r="DT98" s="71">
        <v>25</v>
      </c>
      <c r="DU98" s="21">
        <v>160</v>
      </c>
      <c r="DV98" s="31">
        <f t="shared" si="117"/>
        <v>195</v>
      </c>
      <c r="DW98" s="30">
        <f t="shared" si="118"/>
        <v>345</v>
      </c>
      <c r="DX98" s="36">
        <v>25</v>
      </c>
      <c r="DY98" s="23">
        <v>137.5</v>
      </c>
      <c r="DZ98" s="12">
        <v>96</v>
      </c>
      <c r="EA98" s="12">
        <f t="shared" ref="EA98:EA161" si="122">EA97+3</f>
        <v>418</v>
      </c>
      <c r="EB98" s="12">
        <f t="shared" ref="EB98:EB161" si="123">EB97+4</f>
        <v>454</v>
      </c>
      <c r="EC98" s="12">
        <f t="shared" ref="EC98:EC161" si="124">EC97+4</f>
        <v>444</v>
      </c>
      <c r="ED98" s="12">
        <f t="shared" ref="ED98:ED161" si="125">ED97+3</f>
        <v>358</v>
      </c>
      <c r="EE98" s="12">
        <f t="shared" ref="EE98:EE161" si="126">EE97+2</f>
        <v>282</v>
      </c>
      <c r="EF98" s="12">
        <f t="shared" ref="EF98:EF161" si="127">EF97+1</f>
        <v>216</v>
      </c>
      <c r="EG98" s="12">
        <f t="shared" ref="EG98:EG161" si="128">EG97+1</f>
        <v>206</v>
      </c>
      <c r="EH98" s="12">
        <f t="shared" ref="EH98:EH161" si="129">EH97+1</f>
        <v>206</v>
      </c>
      <c r="EI98" s="12">
        <f t="shared" ref="EI98:EI161" si="130">EI97+1</f>
        <v>196</v>
      </c>
      <c r="EJ98" s="12">
        <f t="shared" ref="EJ98:EJ161" si="131">EJ97+1</f>
        <v>186</v>
      </c>
      <c r="EK98" s="12">
        <f t="shared" ref="EK98:EK161" si="132">EK97+3</f>
        <v>348</v>
      </c>
      <c r="EL98" s="12">
        <f t="shared" ref="EL98:EL161" si="133">EL97+1</f>
        <v>206</v>
      </c>
      <c r="EM98" s="12">
        <f t="shared" ref="EM98:EM161" si="134">EM97+1</f>
        <v>196</v>
      </c>
      <c r="EN98" s="12">
        <f t="shared" ref="EN98:EN161" si="135">EN97+2</f>
        <v>262</v>
      </c>
      <c r="EO98" s="12">
        <f t="shared" ref="EO98:EO161" si="136">EO97+1</f>
        <v>186</v>
      </c>
      <c r="EP98" s="12">
        <f t="shared" ref="EP98:EP161" si="137">EP97+1</f>
        <v>176</v>
      </c>
      <c r="EQ98" s="12">
        <f t="shared" ref="EQ98:EQ161" si="138">EQ97+1</f>
        <v>166</v>
      </c>
      <c r="ER98" s="12">
        <f t="shared" ref="ER98:ER161" si="139">ER97+2</f>
        <v>252</v>
      </c>
      <c r="ES98" s="12">
        <f t="shared" ref="ES98:ES161" si="140">ES97+2</f>
        <v>232</v>
      </c>
      <c r="ET98" s="12">
        <f t="shared" ref="ET98:ET161" si="141">ET97+1</f>
        <v>156</v>
      </c>
      <c r="EU98" s="12">
        <f t="shared" ref="EU98:EU161" si="142">EU97+2</f>
        <v>222</v>
      </c>
      <c r="EV98" s="12">
        <f t="shared" ref="EV98:EV161" si="143">EV97+1</f>
        <v>156</v>
      </c>
      <c r="EW98" s="12">
        <f t="shared" ref="EW98:EW161" si="144">EW97+1</f>
        <v>136</v>
      </c>
      <c r="EX98" s="12">
        <f t="shared" ref="EX98:EX161" si="145">EX97+1</f>
        <v>126</v>
      </c>
      <c r="EY98" s="12">
        <f t="shared" ref="EY98:EY161" si="146">EY97+1</f>
        <v>106</v>
      </c>
      <c r="EZ98" s="12">
        <v>98</v>
      </c>
      <c r="FH98" s="12">
        <v>4300000</v>
      </c>
      <c r="FI98" s="12">
        <v>96</v>
      </c>
      <c r="FJ98" s="12">
        <v>4300000</v>
      </c>
    </row>
    <row r="99" spans="1:166" ht="13.35" customHeight="1" x14ac:dyDescent="0.2">
      <c r="A99" s="21">
        <f t="shared" ref="A99:A130" si="147">A98+1</f>
        <v>98</v>
      </c>
      <c r="B99" s="22">
        <f t="shared" si="120"/>
        <v>9</v>
      </c>
      <c r="C99" s="21">
        <f t="shared" si="121"/>
        <v>154</v>
      </c>
      <c r="D99" s="12">
        <v>42</v>
      </c>
      <c r="E99" s="27" t="s">
        <v>735</v>
      </c>
      <c r="K99" s="12">
        <v>5</v>
      </c>
      <c r="L99" s="12">
        <v>5</v>
      </c>
      <c r="M99" s="12">
        <v>5</v>
      </c>
      <c r="N99" s="12">
        <v>5</v>
      </c>
      <c r="O99" s="12">
        <v>5</v>
      </c>
      <c r="P99" s="12">
        <v>5</v>
      </c>
      <c r="Q99" s="12">
        <v>5</v>
      </c>
      <c r="R99" s="12">
        <v>5</v>
      </c>
      <c r="S99" s="12">
        <v>5</v>
      </c>
      <c r="AA99" s="12">
        <v>5</v>
      </c>
      <c r="AB99" s="12">
        <v>5</v>
      </c>
      <c r="AD99" s="12">
        <v>5</v>
      </c>
      <c r="AF99" s="12">
        <v>5</v>
      </c>
      <c r="AG99" s="12">
        <v>5</v>
      </c>
      <c r="AK99" s="12">
        <v>5</v>
      </c>
      <c r="AL99" s="12">
        <v>5</v>
      </c>
      <c r="AM99" s="12">
        <v>5</v>
      </c>
      <c r="AO99" s="12">
        <v>5</v>
      </c>
      <c r="AP99" s="12">
        <v>5</v>
      </c>
      <c r="AS99" s="12">
        <v>5</v>
      </c>
      <c r="AT99" s="12">
        <v>5</v>
      </c>
      <c r="AU99" s="12">
        <v>5</v>
      </c>
      <c r="AV99" s="12">
        <v>5</v>
      </c>
      <c r="AW99" s="12">
        <v>5</v>
      </c>
      <c r="AX99" s="12">
        <v>5</v>
      </c>
      <c r="AY99" s="12">
        <v>5</v>
      </c>
      <c r="AZ99" s="12">
        <v>5</v>
      </c>
      <c r="BA99" s="12">
        <v>5</v>
      </c>
      <c r="BB99" s="12">
        <v>5</v>
      </c>
      <c r="BC99" s="12">
        <v>10</v>
      </c>
      <c r="BD99" s="12">
        <v>10</v>
      </c>
      <c r="BE99" s="12">
        <v>10</v>
      </c>
      <c r="BF99" s="12">
        <v>5</v>
      </c>
      <c r="BG99" s="12">
        <v>10</v>
      </c>
      <c r="BH99" s="12">
        <v>5</v>
      </c>
      <c r="BI99" s="12">
        <v>5</v>
      </c>
      <c r="BJ99" s="12">
        <v>5</v>
      </c>
      <c r="BK99" s="12">
        <v>5</v>
      </c>
      <c r="BL99" s="12">
        <v>5</v>
      </c>
      <c r="BM99" s="12">
        <v>5</v>
      </c>
      <c r="BN99" s="12">
        <v>5</v>
      </c>
      <c r="BO99" s="12">
        <v>5</v>
      </c>
      <c r="BP99" s="12">
        <v>5</v>
      </c>
      <c r="BQ99" s="12">
        <v>5</v>
      </c>
      <c r="BR99" s="12">
        <v>10</v>
      </c>
      <c r="BS99" s="12">
        <v>10</v>
      </c>
      <c r="BT99" s="12">
        <v>10</v>
      </c>
      <c r="BU99" s="12">
        <v>5</v>
      </c>
      <c r="BV99" s="12">
        <v>5</v>
      </c>
      <c r="BX99" s="12">
        <v>5</v>
      </c>
      <c r="BY99" s="12">
        <v>5</v>
      </c>
      <c r="BZ99" s="12">
        <v>5</v>
      </c>
      <c r="CA99" s="12">
        <v>5</v>
      </c>
      <c r="CB99" s="12">
        <v>5</v>
      </c>
      <c r="CC99" s="12">
        <v>5</v>
      </c>
      <c r="CD99" s="12">
        <v>5</v>
      </c>
      <c r="CE99" s="12">
        <v>10</v>
      </c>
      <c r="CF99" s="12">
        <v>5</v>
      </c>
      <c r="CG99" s="12">
        <v>5</v>
      </c>
      <c r="CH99" s="12">
        <v>5</v>
      </c>
      <c r="CI99" s="12">
        <v>5</v>
      </c>
      <c r="CJ99" s="12">
        <v>5</v>
      </c>
      <c r="CK99" s="12">
        <v>5</v>
      </c>
      <c r="CL99" s="12">
        <v>5</v>
      </c>
      <c r="CM99" s="12">
        <v>5</v>
      </c>
      <c r="CN99" s="12">
        <v>5</v>
      </c>
      <c r="CO99" s="12">
        <v>5</v>
      </c>
      <c r="CP99" s="12">
        <v>5</v>
      </c>
      <c r="CQ99" s="12">
        <v>5</v>
      </c>
      <c r="CX99" s="12">
        <v>5</v>
      </c>
      <c r="CY99" s="12">
        <v>5</v>
      </c>
      <c r="CZ99" s="12">
        <v>5</v>
      </c>
      <c r="DB99" s="12">
        <v>5</v>
      </c>
      <c r="DC99" s="12">
        <v>5</v>
      </c>
      <c r="DD99" s="12">
        <v>5</v>
      </c>
      <c r="DQ99" s="35">
        <v>96</v>
      </c>
      <c r="DR99" s="32">
        <v>68</v>
      </c>
      <c r="DS99" s="73">
        <v>93</v>
      </c>
      <c r="DT99" s="71">
        <v>25</v>
      </c>
      <c r="DU99" s="21">
        <v>161</v>
      </c>
      <c r="DV99" s="31">
        <f t="shared" si="117"/>
        <v>196</v>
      </c>
      <c r="DW99" s="30">
        <f t="shared" si="118"/>
        <v>348</v>
      </c>
      <c r="DX99" s="36">
        <v>25</v>
      </c>
      <c r="DY99" s="23">
        <v>138</v>
      </c>
      <c r="DZ99" s="12">
        <v>97</v>
      </c>
      <c r="EA99" s="12">
        <f t="shared" si="122"/>
        <v>421</v>
      </c>
      <c r="EB99" s="12">
        <f t="shared" si="123"/>
        <v>458</v>
      </c>
      <c r="EC99" s="12">
        <f t="shared" si="124"/>
        <v>448</v>
      </c>
      <c r="ED99" s="12">
        <f t="shared" si="125"/>
        <v>361</v>
      </c>
      <c r="EE99" s="12">
        <f t="shared" si="126"/>
        <v>284</v>
      </c>
      <c r="EF99" s="12">
        <f t="shared" si="127"/>
        <v>217</v>
      </c>
      <c r="EG99" s="12">
        <f t="shared" si="128"/>
        <v>207</v>
      </c>
      <c r="EH99" s="12">
        <f t="shared" si="129"/>
        <v>207</v>
      </c>
      <c r="EI99" s="12">
        <f t="shared" si="130"/>
        <v>197</v>
      </c>
      <c r="EJ99" s="12">
        <f t="shared" si="131"/>
        <v>187</v>
      </c>
      <c r="EK99" s="12">
        <f t="shared" si="132"/>
        <v>351</v>
      </c>
      <c r="EL99" s="12">
        <f t="shared" si="133"/>
        <v>207</v>
      </c>
      <c r="EM99" s="12">
        <f t="shared" si="134"/>
        <v>197</v>
      </c>
      <c r="EN99" s="12">
        <f t="shared" si="135"/>
        <v>264</v>
      </c>
      <c r="EO99" s="12">
        <f t="shared" si="136"/>
        <v>187</v>
      </c>
      <c r="EP99" s="12">
        <f t="shared" si="137"/>
        <v>177</v>
      </c>
      <c r="EQ99" s="12">
        <f t="shared" si="138"/>
        <v>167</v>
      </c>
      <c r="ER99" s="12">
        <f t="shared" si="139"/>
        <v>254</v>
      </c>
      <c r="ES99" s="12">
        <f t="shared" si="140"/>
        <v>234</v>
      </c>
      <c r="ET99" s="12">
        <f t="shared" si="141"/>
        <v>157</v>
      </c>
      <c r="EU99" s="12">
        <f t="shared" si="142"/>
        <v>224</v>
      </c>
      <c r="EV99" s="12">
        <f t="shared" si="143"/>
        <v>157</v>
      </c>
      <c r="EW99" s="12">
        <f t="shared" si="144"/>
        <v>137</v>
      </c>
      <c r="EX99" s="12">
        <f t="shared" si="145"/>
        <v>127</v>
      </c>
      <c r="EY99" s="12">
        <f t="shared" si="146"/>
        <v>107</v>
      </c>
      <c r="EZ99" s="12">
        <v>99</v>
      </c>
      <c r="FH99" s="12">
        <v>4350000</v>
      </c>
      <c r="FI99" s="12">
        <v>97</v>
      </c>
      <c r="FJ99" s="12">
        <v>4350000</v>
      </c>
    </row>
    <row r="100" spans="1:166" ht="13.35" customHeight="1" x14ac:dyDescent="0.2">
      <c r="A100" s="21">
        <f t="shared" si="147"/>
        <v>99</v>
      </c>
      <c r="B100" s="22">
        <f t="shared" si="120"/>
        <v>9</v>
      </c>
      <c r="C100" s="21">
        <f t="shared" si="121"/>
        <v>171</v>
      </c>
      <c r="D100" s="12">
        <v>43</v>
      </c>
      <c r="E100" s="27" t="s">
        <v>734</v>
      </c>
      <c r="K100" s="12">
        <v>5</v>
      </c>
      <c r="L100" s="12">
        <v>5</v>
      </c>
      <c r="M100" s="12">
        <v>5</v>
      </c>
      <c r="N100" s="12">
        <v>5</v>
      </c>
      <c r="O100" s="12">
        <v>5</v>
      </c>
      <c r="P100" s="12">
        <v>5</v>
      </c>
      <c r="Q100" s="12">
        <v>5</v>
      </c>
      <c r="R100" s="12">
        <v>5</v>
      </c>
      <c r="S100" s="12">
        <v>5</v>
      </c>
      <c r="AA100" s="12">
        <v>5</v>
      </c>
      <c r="AB100" s="12">
        <v>5</v>
      </c>
      <c r="AD100" s="12">
        <v>5</v>
      </c>
      <c r="AF100" s="12">
        <v>5</v>
      </c>
      <c r="AG100" s="12">
        <v>5</v>
      </c>
      <c r="AK100" s="12">
        <v>5</v>
      </c>
      <c r="AL100" s="12">
        <v>5</v>
      </c>
      <c r="AM100" s="12">
        <v>5</v>
      </c>
      <c r="AO100" s="12">
        <v>5</v>
      </c>
      <c r="AP100" s="12">
        <v>5</v>
      </c>
      <c r="AS100" s="12">
        <v>5</v>
      </c>
      <c r="AT100" s="12">
        <v>5</v>
      </c>
      <c r="AU100" s="12">
        <v>5</v>
      </c>
      <c r="AV100" s="12">
        <v>5</v>
      </c>
      <c r="AW100" s="12">
        <v>5</v>
      </c>
      <c r="AX100" s="12">
        <v>5</v>
      </c>
      <c r="AY100" s="12">
        <v>5</v>
      </c>
      <c r="AZ100" s="12">
        <v>5</v>
      </c>
      <c r="BA100" s="12">
        <v>5</v>
      </c>
      <c r="BB100" s="12">
        <v>5</v>
      </c>
      <c r="BC100" s="12">
        <v>10</v>
      </c>
      <c r="BD100" s="12">
        <v>10</v>
      </c>
      <c r="BE100" s="12">
        <v>10</v>
      </c>
      <c r="BF100" s="12">
        <v>5</v>
      </c>
      <c r="BG100" s="12">
        <v>10</v>
      </c>
      <c r="BH100" s="12">
        <v>5</v>
      </c>
      <c r="BI100" s="12">
        <v>5</v>
      </c>
      <c r="BJ100" s="12">
        <v>5</v>
      </c>
      <c r="BK100" s="12">
        <v>5</v>
      </c>
      <c r="BL100" s="12">
        <v>5</v>
      </c>
      <c r="BM100" s="12">
        <v>5</v>
      </c>
      <c r="BN100" s="12">
        <v>5</v>
      </c>
      <c r="BO100" s="12">
        <v>5</v>
      </c>
      <c r="BP100" s="12">
        <v>5</v>
      </c>
      <c r="BQ100" s="12">
        <v>5</v>
      </c>
      <c r="BR100" s="12">
        <v>10</v>
      </c>
      <c r="BS100" s="12">
        <v>10</v>
      </c>
      <c r="BT100" s="12">
        <v>10</v>
      </c>
      <c r="BU100" s="12">
        <v>5</v>
      </c>
      <c r="BV100" s="12">
        <v>5</v>
      </c>
      <c r="BX100" s="12">
        <v>5</v>
      </c>
      <c r="BY100" s="12">
        <v>5</v>
      </c>
      <c r="BZ100" s="12">
        <v>5</v>
      </c>
      <c r="CA100" s="12">
        <v>5</v>
      </c>
      <c r="CB100" s="12">
        <v>5</v>
      </c>
      <c r="CC100" s="12">
        <v>5</v>
      </c>
      <c r="CD100" s="12">
        <v>5</v>
      </c>
      <c r="CE100" s="12">
        <v>10</v>
      </c>
      <c r="CF100" s="12">
        <v>5</v>
      </c>
      <c r="CG100" s="12">
        <v>5</v>
      </c>
      <c r="CH100" s="12">
        <v>5</v>
      </c>
      <c r="CI100" s="12">
        <v>5</v>
      </c>
      <c r="CJ100" s="12">
        <v>5</v>
      </c>
      <c r="CK100" s="12">
        <v>5</v>
      </c>
      <c r="CL100" s="12">
        <v>5</v>
      </c>
      <c r="CM100" s="12">
        <v>5</v>
      </c>
      <c r="CN100" s="12">
        <v>5</v>
      </c>
      <c r="CO100" s="12">
        <v>5</v>
      </c>
      <c r="CP100" s="12">
        <v>5</v>
      </c>
      <c r="CQ100" s="12">
        <v>5</v>
      </c>
      <c r="CX100" s="12">
        <v>5</v>
      </c>
      <c r="CY100" s="12">
        <v>5</v>
      </c>
      <c r="CZ100" s="12">
        <v>5</v>
      </c>
      <c r="DB100" s="12">
        <v>5</v>
      </c>
      <c r="DC100" s="12">
        <v>5</v>
      </c>
      <c r="DD100" s="12">
        <v>5</v>
      </c>
      <c r="DQ100" s="35">
        <v>97</v>
      </c>
      <c r="DR100" s="32">
        <v>69</v>
      </c>
      <c r="DS100" s="73">
        <v>94</v>
      </c>
      <c r="DT100" s="71">
        <v>25</v>
      </c>
      <c r="DU100" s="21">
        <v>162</v>
      </c>
      <c r="DV100" s="31">
        <f t="shared" si="117"/>
        <v>197</v>
      </c>
      <c r="DW100" s="30">
        <f t="shared" ref="DW100:DW131" si="148">HLOOKUP($B$155,$DZ$1:$FA$202,$EZ99,0)</f>
        <v>351</v>
      </c>
      <c r="DX100" s="36">
        <v>25</v>
      </c>
      <c r="DY100" s="23">
        <v>138.5</v>
      </c>
      <c r="DZ100" s="12">
        <v>98</v>
      </c>
      <c r="EA100" s="12">
        <f t="shared" si="122"/>
        <v>424</v>
      </c>
      <c r="EB100" s="12">
        <f t="shared" si="123"/>
        <v>462</v>
      </c>
      <c r="EC100" s="12">
        <f t="shared" si="124"/>
        <v>452</v>
      </c>
      <c r="ED100" s="12">
        <f t="shared" si="125"/>
        <v>364</v>
      </c>
      <c r="EE100" s="12">
        <f t="shared" si="126"/>
        <v>286</v>
      </c>
      <c r="EF100" s="12">
        <f t="shared" si="127"/>
        <v>218</v>
      </c>
      <c r="EG100" s="12">
        <f t="shared" si="128"/>
        <v>208</v>
      </c>
      <c r="EH100" s="12">
        <f t="shared" si="129"/>
        <v>208</v>
      </c>
      <c r="EI100" s="12">
        <f t="shared" si="130"/>
        <v>198</v>
      </c>
      <c r="EJ100" s="12">
        <f t="shared" si="131"/>
        <v>188</v>
      </c>
      <c r="EK100" s="12">
        <f t="shared" si="132"/>
        <v>354</v>
      </c>
      <c r="EL100" s="12">
        <f t="shared" si="133"/>
        <v>208</v>
      </c>
      <c r="EM100" s="12">
        <f t="shared" si="134"/>
        <v>198</v>
      </c>
      <c r="EN100" s="12">
        <f t="shared" si="135"/>
        <v>266</v>
      </c>
      <c r="EO100" s="12">
        <f t="shared" si="136"/>
        <v>188</v>
      </c>
      <c r="EP100" s="12">
        <f t="shared" si="137"/>
        <v>178</v>
      </c>
      <c r="EQ100" s="12">
        <f t="shared" si="138"/>
        <v>168</v>
      </c>
      <c r="ER100" s="12">
        <f t="shared" si="139"/>
        <v>256</v>
      </c>
      <c r="ES100" s="12">
        <f t="shared" si="140"/>
        <v>236</v>
      </c>
      <c r="ET100" s="12">
        <f t="shared" si="141"/>
        <v>158</v>
      </c>
      <c r="EU100" s="12">
        <f t="shared" si="142"/>
        <v>226</v>
      </c>
      <c r="EV100" s="12">
        <f t="shared" si="143"/>
        <v>158</v>
      </c>
      <c r="EW100" s="12">
        <f t="shared" si="144"/>
        <v>138</v>
      </c>
      <c r="EX100" s="12">
        <f t="shared" si="145"/>
        <v>128</v>
      </c>
      <c r="EY100" s="12">
        <f t="shared" si="146"/>
        <v>108</v>
      </c>
      <c r="EZ100" s="12">
        <v>100</v>
      </c>
      <c r="FH100" s="12">
        <v>4400000</v>
      </c>
      <c r="FI100" s="12">
        <v>98</v>
      </c>
      <c r="FJ100" s="12">
        <v>4400000</v>
      </c>
    </row>
    <row r="101" spans="1:166" ht="13.35" customHeight="1" x14ac:dyDescent="0.2">
      <c r="A101" s="21">
        <f t="shared" si="147"/>
        <v>100</v>
      </c>
      <c r="B101" s="22">
        <f t="shared" si="120"/>
        <v>10</v>
      </c>
      <c r="C101" s="21">
        <f t="shared" si="121"/>
        <v>190</v>
      </c>
      <c r="D101" s="12">
        <v>44</v>
      </c>
      <c r="E101" s="27" t="s">
        <v>641</v>
      </c>
      <c r="G101" s="12">
        <v>15</v>
      </c>
      <c r="H101" s="12">
        <v>10</v>
      </c>
      <c r="W101" s="12">
        <v>5</v>
      </c>
      <c r="Y101" s="12">
        <v>5</v>
      </c>
      <c r="AD101" s="12">
        <v>5</v>
      </c>
      <c r="BB101" s="12">
        <v>15</v>
      </c>
      <c r="BE101" s="12">
        <v>5</v>
      </c>
      <c r="BJ101" s="12">
        <v>5</v>
      </c>
      <c r="BW101" s="12">
        <v>5</v>
      </c>
      <c r="DQ101" s="35">
        <v>98</v>
      </c>
      <c r="DR101" s="32">
        <v>69</v>
      </c>
      <c r="DS101" s="73">
        <v>94</v>
      </c>
      <c r="DT101" s="71">
        <v>25</v>
      </c>
      <c r="DU101" s="21">
        <v>163</v>
      </c>
      <c r="DV101" s="31">
        <f t="shared" si="117"/>
        <v>198</v>
      </c>
      <c r="DW101" s="30">
        <f t="shared" si="148"/>
        <v>354</v>
      </c>
      <c r="DX101" s="36">
        <v>25</v>
      </c>
      <c r="DY101" s="23">
        <v>139</v>
      </c>
      <c r="DZ101" s="12">
        <v>99</v>
      </c>
      <c r="EA101" s="12">
        <f t="shared" si="122"/>
        <v>427</v>
      </c>
      <c r="EB101" s="12">
        <f t="shared" si="123"/>
        <v>466</v>
      </c>
      <c r="EC101" s="12">
        <f t="shared" si="124"/>
        <v>456</v>
      </c>
      <c r="ED101" s="12">
        <f t="shared" si="125"/>
        <v>367</v>
      </c>
      <c r="EE101" s="12">
        <f t="shared" si="126"/>
        <v>288</v>
      </c>
      <c r="EF101" s="12">
        <f t="shared" si="127"/>
        <v>219</v>
      </c>
      <c r="EG101" s="12">
        <f t="shared" si="128"/>
        <v>209</v>
      </c>
      <c r="EH101" s="12">
        <f t="shared" si="129"/>
        <v>209</v>
      </c>
      <c r="EI101" s="12">
        <f t="shared" si="130"/>
        <v>199</v>
      </c>
      <c r="EJ101" s="12">
        <f t="shared" si="131"/>
        <v>189</v>
      </c>
      <c r="EK101" s="12">
        <f t="shared" si="132"/>
        <v>357</v>
      </c>
      <c r="EL101" s="12">
        <f t="shared" si="133"/>
        <v>209</v>
      </c>
      <c r="EM101" s="12">
        <f t="shared" si="134"/>
        <v>199</v>
      </c>
      <c r="EN101" s="12">
        <f t="shared" si="135"/>
        <v>268</v>
      </c>
      <c r="EO101" s="12">
        <f t="shared" si="136"/>
        <v>189</v>
      </c>
      <c r="EP101" s="12">
        <f t="shared" si="137"/>
        <v>179</v>
      </c>
      <c r="EQ101" s="12">
        <f t="shared" si="138"/>
        <v>169</v>
      </c>
      <c r="ER101" s="12">
        <f t="shared" si="139"/>
        <v>258</v>
      </c>
      <c r="ES101" s="12">
        <f t="shared" si="140"/>
        <v>238</v>
      </c>
      <c r="ET101" s="12">
        <f t="shared" si="141"/>
        <v>159</v>
      </c>
      <c r="EU101" s="12">
        <f t="shared" si="142"/>
        <v>228</v>
      </c>
      <c r="EV101" s="12">
        <f t="shared" si="143"/>
        <v>159</v>
      </c>
      <c r="EW101" s="12">
        <f t="shared" si="144"/>
        <v>139</v>
      </c>
      <c r="EX101" s="12">
        <f t="shared" si="145"/>
        <v>129</v>
      </c>
      <c r="EY101" s="12">
        <f t="shared" si="146"/>
        <v>109</v>
      </c>
      <c r="EZ101" s="12">
        <v>101</v>
      </c>
      <c r="FH101" s="12">
        <v>4450000</v>
      </c>
      <c r="FI101" s="12">
        <v>99</v>
      </c>
      <c r="FJ101" s="12">
        <v>4450000</v>
      </c>
    </row>
    <row r="102" spans="1:166" ht="13.35" customHeight="1" x14ac:dyDescent="0.2">
      <c r="A102" s="21">
        <f t="shared" si="147"/>
        <v>101</v>
      </c>
      <c r="B102" s="22">
        <f t="shared" ref="B102:B133" si="149">ROUND((A102-95)*2,0)</f>
        <v>12</v>
      </c>
      <c r="C102" s="21">
        <f t="shared" si="121"/>
        <v>211</v>
      </c>
      <c r="D102" s="12">
        <v>45</v>
      </c>
      <c r="E102" s="27" t="s">
        <v>644</v>
      </c>
      <c r="G102" s="12">
        <v>15</v>
      </c>
      <c r="H102" s="12">
        <v>10</v>
      </c>
      <c r="W102" s="12">
        <v>5</v>
      </c>
      <c r="Y102" s="12">
        <v>5</v>
      </c>
      <c r="AD102" s="12">
        <v>5</v>
      </c>
      <c r="BB102" s="12">
        <v>15</v>
      </c>
      <c r="BE102" s="12">
        <v>5</v>
      </c>
      <c r="BJ102" s="12">
        <v>5</v>
      </c>
      <c r="BW102" s="12">
        <v>5</v>
      </c>
      <c r="DQ102" s="35">
        <v>99</v>
      </c>
      <c r="DR102" s="32">
        <v>70</v>
      </c>
      <c r="DS102" s="73">
        <v>95</v>
      </c>
      <c r="DT102" s="71">
        <v>25</v>
      </c>
      <c r="DU102" s="21">
        <v>164</v>
      </c>
      <c r="DV102" s="31">
        <f t="shared" si="117"/>
        <v>199</v>
      </c>
      <c r="DW102" s="30">
        <f t="shared" si="148"/>
        <v>357</v>
      </c>
      <c r="DX102" s="36">
        <v>25</v>
      </c>
      <c r="DY102" s="23">
        <v>139.5</v>
      </c>
      <c r="DZ102" s="20">
        <v>100</v>
      </c>
      <c r="EA102" s="12">
        <f t="shared" si="122"/>
        <v>430</v>
      </c>
      <c r="EB102" s="12">
        <f t="shared" si="123"/>
        <v>470</v>
      </c>
      <c r="EC102" s="12">
        <f t="shared" si="124"/>
        <v>460</v>
      </c>
      <c r="ED102" s="12">
        <f t="shared" si="125"/>
        <v>370</v>
      </c>
      <c r="EE102" s="12">
        <f t="shared" si="126"/>
        <v>290</v>
      </c>
      <c r="EF102" s="12">
        <f t="shared" si="127"/>
        <v>220</v>
      </c>
      <c r="EG102" s="12">
        <f t="shared" si="128"/>
        <v>210</v>
      </c>
      <c r="EH102" s="12">
        <f t="shared" si="129"/>
        <v>210</v>
      </c>
      <c r="EI102" s="12">
        <f t="shared" si="130"/>
        <v>200</v>
      </c>
      <c r="EJ102" s="12">
        <f t="shared" si="131"/>
        <v>190</v>
      </c>
      <c r="EK102" s="12">
        <f t="shared" si="132"/>
        <v>360</v>
      </c>
      <c r="EL102" s="12">
        <f t="shared" si="133"/>
        <v>210</v>
      </c>
      <c r="EM102" s="12">
        <f t="shared" si="134"/>
        <v>200</v>
      </c>
      <c r="EN102" s="12">
        <f t="shared" si="135"/>
        <v>270</v>
      </c>
      <c r="EO102" s="12">
        <f t="shared" si="136"/>
        <v>190</v>
      </c>
      <c r="EP102" s="12">
        <f t="shared" si="137"/>
        <v>180</v>
      </c>
      <c r="EQ102" s="12">
        <f t="shared" si="138"/>
        <v>170</v>
      </c>
      <c r="ER102" s="12">
        <f t="shared" si="139"/>
        <v>260</v>
      </c>
      <c r="ES102" s="12">
        <f t="shared" si="140"/>
        <v>240</v>
      </c>
      <c r="ET102" s="12">
        <f t="shared" si="141"/>
        <v>160</v>
      </c>
      <c r="EU102" s="12">
        <f t="shared" si="142"/>
        <v>230</v>
      </c>
      <c r="EV102" s="12">
        <f t="shared" si="143"/>
        <v>160</v>
      </c>
      <c r="EW102" s="12">
        <f t="shared" si="144"/>
        <v>140</v>
      </c>
      <c r="EX102" s="12">
        <f t="shared" si="145"/>
        <v>130</v>
      </c>
      <c r="EY102" s="12">
        <f t="shared" si="146"/>
        <v>110</v>
      </c>
      <c r="EZ102" s="20">
        <v>102</v>
      </c>
      <c r="FH102" s="12">
        <v>4500000</v>
      </c>
      <c r="FI102" s="12">
        <v>100</v>
      </c>
      <c r="FJ102" s="12">
        <v>4500000</v>
      </c>
    </row>
    <row r="103" spans="1:166" ht="13.35" customHeight="1" x14ac:dyDescent="0.2">
      <c r="A103" s="21">
        <f t="shared" si="147"/>
        <v>102</v>
      </c>
      <c r="B103" s="22">
        <f t="shared" si="149"/>
        <v>14</v>
      </c>
      <c r="C103" s="21">
        <f t="shared" si="121"/>
        <v>234</v>
      </c>
      <c r="D103" s="12">
        <v>46</v>
      </c>
      <c r="E103" s="27" t="s">
        <v>655</v>
      </c>
      <c r="G103" s="12">
        <v>15</v>
      </c>
      <c r="H103" s="12">
        <v>10</v>
      </c>
      <c r="R103" s="12">
        <v>5</v>
      </c>
      <c r="T103" s="12">
        <v>5</v>
      </c>
      <c r="V103" s="12">
        <v>5</v>
      </c>
      <c r="W103" s="12">
        <v>5</v>
      </c>
      <c r="Y103" s="12">
        <v>5</v>
      </c>
      <c r="AD103" s="12">
        <v>5</v>
      </c>
      <c r="AK103" s="12">
        <v>5</v>
      </c>
      <c r="AQ103" s="12">
        <v>10</v>
      </c>
      <c r="AU103" s="12">
        <v>5</v>
      </c>
      <c r="BB103" s="12">
        <v>15</v>
      </c>
      <c r="BE103" s="12">
        <v>5</v>
      </c>
      <c r="BJ103" s="12">
        <v>5</v>
      </c>
      <c r="BW103" s="12">
        <v>5</v>
      </c>
      <c r="CS103" s="12">
        <v>5</v>
      </c>
      <c r="CT103" s="12">
        <v>10</v>
      </c>
      <c r="DA103" s="12">
        <v>5</v>
      </c>
      <c r="DQ103" s="35">
        <v>100</v>
      </c>
      <c r="DR103" s="32">
        <v>70</v>
      </c>
      <c r="DS103" s="73">
        <v>95</v>
      </c>
      <c r="DT103" s="71">
        <v>25</v>
      </c>
      <c r="DU103" s="21">
        <v>165</v>
      </c>
      <c r="DV103" s="31">
        <f t="shared" si="117"/>
        <v>200</v>
      </c>
      <c r="DW103" s="30">
        <f t="shared" si="148"/>
        <v>360</v>
      </c>
      <c r="DX103" s="36">
        <v>25</v>
      </c>
      <c r="DY103" s="23">
        <v>140</v>
      </c>
      <c r="DZ103" s="12">
        <v>101</v>
      </c>
      <c r="EA103" s="12">
        <f t="shared" si="122"/>
        <v>433</v>
      </c>
      <c r="EB103" s="12">
        <f t="shared" si="123"/>
        <v>474</v>
      </c>
      <c r="EC103" s="12">
        <f t="shared" si="124"/>
        <v>464</v>
      </c>
      <c r="ED103" s="12">
        <f t="shared" si="125"/>
        <v>373</v>
      </c>
      <c r="EE103" s="12">
        <f t="shared" si="126"/>
        <v>292</v>
      </c>
      <c r="EF103" s="12">
        <f t="shared" si="127"/>
        <v>221</v>
      </c>
      <c r="EG103" s="12">
        <f t="shared" si="128"/>
        <v>211</v>
      </c>
      <c r="EH103" s="12">
        <f t="shared" si="129"/>
        <v>211</v>
      </c>
      <c r="EI103" s="12">
        <f t="shared" si="130"/>
        <v>201</v>
      </c>
      <c r="EJ103" s="12">
        <f t="shared" si="131"/>
        <v>191</v>
      </c>
      <c r="EK103" s="12">
        <f t="shared" si="132"/>
        <v>363</v>
      </c>
      <c r="EL103" s="12">
        <f t="shared" si="133"/>
        <v>211</v>
      </c>
      <c r="EM103" s="12">
        <f t="shared" si="134"/>
        <v>201</v>
      </c>
      <c r="EN103" s="12">
        <f t="shared" si="135"/>
        <v>272</v>
      </c>
      <c r="EO103" s="12">
        <f t="shared" si="136"/>
        <v>191</v>
      </c>
      <c r="EP103" s="12">
        <f t="shared" si="137"/>
        <v>181</v>
      </c>
      <c r="EQ103" s="12">
        <f t="shared" si="138"/>
        <v>171</v>
      </c>
      <c r="ER103" s="12">
        <f t="shared" si="139"/>
        <v>262</v>
      </c>
      <c r="ES103" s="12">
        <f t="shared" si="140"/>
        <v>242</v>
      </c>
      <c r="ET103" s="12">
        <f t="shared" si="141"/>
        <v>161</v>
      </c>
      <c r="EU103" s="12">
        <f t="shared" si="142"/>
        <v>232</v>
      </c>
      <c r="EV103" s="12">
        <f t="shared" si="143"/>
        <v>161</v>
      </c>
      <c r="EW103" s="12">
        <f t="shared" si="144"/>
        <v>141</v>
      </c>
      <c r="EX103" s="12">
        <f t="shared" si="145"/>
        <v>131</v>
      </c>
      <c r="EY103" s="12">
        <f t="shared" si="146"/>
        <v>111</v>
      </c>
      <c r="EZ103" s="12">
        <v>103</v>
      </c>
    </row>
    <row r="104" spans="1:166" ht="13.35" customHeight="1" x14ac:dyDescent="0.2">
      <c r="A104" s="21">
        <f t="shared" si="147"/>
        <v>103</v>
      </c>
      <c r="B104" s="22">
        <f t="shared" si="149"/>
        <v>16</v>
      </c>
      <c r="C104" s="21">
        <f t="shared" si="121"/>
        <v>259</v>
      </c>
      <c r="D104" s="12">
        <v>47</v>
      </c>
      <c r="E104" s="27" t="s">
        <v>660</v>
      </c>
      <c r="J104" s="12">
        <v>5</v>
      </c>
      <c r="AG104" s="12">
        <v>5</v>
      </c>
      <c r="AZ104" s="12">
        <v>10</v>
      </c>
      <c r="BL104" s="12">
        <v>10</v>
      </c>
      <c r="CD104" s="12">
        <v>10</v>
      </c>
      <c r="CX104" s="12">
        <v>5</v>
      </c>
      <c r="DQ104" s="35">
        <v>101</v>
      </c>
      <c r="DR104" s="32">
        <v>71</v>
      </c>
      <c r="DS104" s="73">
        <v>95.5</v>
      </c>
      <c r="DT104" s="71">
        <v>25</v>
      </c>
      <c r="DU104" s="21">
        <v>166</v>
      </c>
      <c r="DV104" s="31">
        <f t="shared" si="117"/>
        <v>201</v>
      </c>
      <c r="DW104" s="30">
        <f t="shared" si="148"/>
        <v>363</v>
      </c>
      <c r="DX104" s="36">
        <v>25</v>
      </c>
      <c r="DY104" s="23">
        <v>140.5</v>
      </c>
      <c r="DZ104" s="12">
        <v>102</v>
      </c>
      <c r="EA104" s="12">
        <f t="shared" si="122"/>
        <v>436</v>
      </c>
      <c r="EB104" s="12">
        <f t="shared" si="123"/>
        <v>478</v>
      </c>
      <c r="EC104" s="12">
        <f t="shared" si="124"/>
        <v>468</v>
      </c>
      <c r="ED104" s="12">
        <f t="shared" si="125"/>
        <v>376</v>
      </c>
      <c r="EE104" s="12">
        <f t="shared" si="126"/>
        <v>294</v>
      </c>
      <c r="EF104" s="12">
        <f t="shared" si="127"/>
        <v>222</v>
      </c>
      <c r="EG104" s="12">
        <f t="shared" si="128"/>
        <v>212</v>
      </c>
      <c r="EH104" s="12">
        <f t="shared" si="129"/>
        <v>212</v>
      </c>
      <c r="EI104" s="12">
        <f t="shared" si="130"/>
        <v>202</v>
      </c>
      <c r="EJ104" s="12">
        <f t="shared" si="131"/>
        <v>192</v>
      </c>
      <c r="EK104" s="12">
        <f t="shared" si="132"/>
        <v>366</v>
      </c>
      <c r="EL104" s="12">
        <f t="shared" si="133"/>
        <v>212</v>
      </c>
      <c r="EM104" s="12">
        <f t="shared" si="134"/>
        <v>202</v>
      </c>
      <c r="EN104" s="12">
        <f t="shared" si="135"/>
        <v>274</v>
      </c>
      <c r="EO104" s="12">
        <f t="shared" si="136"/>
        <v>192</v>
      </c>
      <c r="EP104" s="12">
        <f t="shared" si="137"/>
        <v>182</v>
      </c>
      <c r="EQ104" s="12">
        <f t="shared" si="138"/>
        <v>172</v>
      </c>
      <c r="ER104" s="12">
        <f t="shared" si="139"/>
        <v>264</v>
      </c>
      <c r="ES104" s="12">
        <f t="shared" si="140"/>
        <v>244</v>
      </c>
      <c r="ET104" s="12">
        <f t="shared" si="141"/>
        <v>162</v>
      </c>
      <c r="EU104" s="12">
        <f t="shared" si="142"/>
        <v>234</v>
      </c>
      <c r="EV104" s="12">
        <f t="shared" si="143"/>
        <v>162</v>
      </c>
      <c r="EW104" s="12">
        <f t="shared" si="144"/>
        <v>142</v>
      </c>
      <c r="EX104" s="12">
        <f t="shared" si="145"/>
        <v>132</v>
      </c>
      <c r="EY104" s="12">
        <f t="shared" si="146"/>
        <v>112</v>
      </c>
      <c r="EZ104" s="12">
        <v>104</v>
      </c>
    </row>
    <row r="105" spans="1:166" ht="13.35" customHeight="1" x14ac:dyDescent="0.2">
      <c r="A105" s="21">
        <f t="shared" si="147"/>
        <v>104</v>
      </c>
      <c r="B105" s="22">
        <f t="shared" si="149"/>
        <v>18</v>
      </c>
      <c r="C105" s="21">
        <f t="shared" si="121"/>
        <v>286</v>
      </c>
      <c r="D105" s="12">
        <v>48</v>
      </c>
      <c r="E105" s="27" t="s">
        <v>1094</v>
      </c>
      <c r="J105" s="12">
        <v>5</v>
      </c>
      <c r="AG105" s="12">
        <v>5</v>
      </c>
      <c r="AZ105" s="12">
        <v>10</v>
      </c>
      <c r="BL105" s="12">
        <v>10</v>
      </c>
      <c r="CD105" s="12">
        <v>10</v>
      </c>
      <c r="CX105" s="12">
        <v>5</v>
      </c>
      <c r="DQ105" s="35">
        <v>102</v>
      </c>
      <c r="DR105" s="32">
        <v>71</v>
      </c>
      <c r="DS105" s="73">
        <v>96</v>
      </c>
      <c r="DT105" s="71">
        <v>25</v>
      </c>
      <c r="DU105" s="21">
        <v>167</v>
      </c>
      <c r="DV105" s="31">
        <f t="shared" si="117"/>
        <v>202</v>
      </c>
      <c r="DW105" s="30">
        <f t="shared" si="148"/>
        <v>366</v>
      </c>
      <c r="DX105" s="36">
        <v>25</v>
      </c>
      <c r="DY105" s="23">
        <v>141</v>
      </c>
      <c r="DZ105" s="12">
        <v>103</v>
      </c>
      <c r="EA105" s="12">
        <f t="shared" si="122"/>
        <v>439</v>
      </c>
      <c r="EB105" s="12">
        <f t="shared" si="123"/>
        <v>482</v>
      </c>
      <c r="EC105" s="12">
        <f t="shared" si="124"/>
        <v>472</v>
      </c>
      <c r="ED105" s="12">
        <f t="shared" si="125"/>
        <v>379</v>
      </c>
      <c r="EE105" s="12">
        <f t="shared" si="126"/>
        <v>296</v>
      </c>
      <c r="EF105" s="12">
        <f t="shared" si="127"/>
        <v>223</v>
      </c>
      <c r="EG105" s="12">
        <f t="shared" si="128"/>
        <v>213</v>
      </c>
      <c r="EH105" s="12">
        <f t="shared" si="129"/>
        <v>213</v>
      </c>
      <c r="EI105" s="12">
        <f t="shared" si="130"/>
        <v>203</v>
      </c>
      <c r="EJ105" s="12">
        <f t="shared" si="131"/>
        <v>193</v>
      </c>
      <c r="EK105" s="12">
        <f t="shared" si="132"/>
        <v>369</v>
      </c>
      <c r="EL105" s="12">
        <f t="shared" si="133"/>
        <v>213</v>
      </c>
      <c r="EM105" s="12">
        <f t="shared" si="134"/>
        <v>203</v>
      </c>
      <c r="EN105" s="12">
        <f t="shared" si="135"/>
        <v>276</v>
      </c>
      <c r="EO105" s="12">
        <f t="shared" si="136"/>
        <v>193</v>
      </c>
      <c r="EP105" s="12">
        <f t="shared" si="137"/>
        <v>183</v>
      </c>
      <c r="EQ105" s="12">
        <f t="shared" si="138"/>
        <v>173</v>
      </c>
      <c r="ER105" s="12">
        <f t="shared" si="139"/>
        <v>266</v>
      </c>
      <c r="ES105" s="12">
        <f t="shared" si="140"/>
        <v>246</v>
      </c>
      <c r="ET105" s="12">
        <f t="shared" si="141"/>
        <v>163</v>
      </c>
      <c r="EU105" s="12">
        <f t="shared" si="142"/>
        <v>236</v>
      </c>
      <c r="EV105" s="12">
        <f t="shared" si="143"/>
        <v>163</v>
      </c>
      <c r="EW105" s="12">
        <f t="shared" si="144"/>
        <v>143</v>
      </c>
      <c r="EX105" s="12">
        <f t="shared" si="145"/>
        <v>133</v>
      </c>
      <c r="EY105" s="12">
        <f t="shared" si="146"/>
        <v>113</v>
      </c>
      <c r="EZ105" s="12">
        <v>105</v>
      </c>
    </row>
    <row r="106" spans="1:166" ht="13.35" customHeight="1" x14ac:dyDescent="0.2">
      <c r="A106" s="21">
        <f t="shared" si="147"/>
        <v>105</v>
      </c>
      <c r="B106" s="22">
        <f t="shared" si="149"/>
        <v>20</v>
      </c>
      <c r="C106" s="21">
        <f t="shared" si="121"/>
        <v>315</v>
      </c>
      <c r="D106" s="12">
        <v>49</v>
      </c>
      <c r="E106" s="27" t="s">
        <v>681</v>
      </c>
      <c r="J106" s="12">
        <v>5</v>
      </c>
      <c r="AG106" s="12">
        <v>5</v>
      </c>
      <c r="AW106" s="12">
        <v>10</v>
      </c>
      <c r="AZ106" s="12">
        <v>10</v>
      </c>
      <c r="BL106" s="12">
        <v>10</v>
      </c>
      <c r="CD106" s="12">
        <v>10</v>
      </c>
      <c r="CX106" s="12">
        <v>5</v>
      </c>
      <c r="DB106" s="12">
        <v>5</v>
      </c>
      <c r="DQ106" s="35">
        <v>103</v>
      </c>
      <c r="DR106" s="32">
        <v>72</v>
      </c>
      <c r="DS106" s="73">
        <v>96.5</v>
      </c>
      <c r="DT106" s="71">
        <v>25</v>
      </c>
      <c r="DU106" s="21">
        <v>168</v>
      </c>
      <c r="DV106" s="31">
        <f t="shared" si="117"/>
        <v>203</v>
      </c>
      <c r="DW106" s="30">
        <f t="shared" si="148"/>
        <v>369</v>
      </c>
      <c r="DX106" s="36">
        <v>25</v>
      </c>
      <c r="DY106" s="23">
        <v>141.5</v>
      </c>
      <c r="DZ106" s="12">
        <v>104</v>
      </c>
      <c r="EA106" s="12">
        <f t="shared" si="122"/>
        <v>442</v>
      </c>
      <c r="EB106" s="12">
        <f t="shared" si="123"/>
        <v>486</v>
      </c>
      <c r="EC106" s="12">
        <f t="shared" si="124"/>
        <v>476</v>
      </c>
      <c r="ED106" s="12">
        <f t="shared" si="125"/>
        <v>382</v>
      </c>
      <c r="EE106" s="12">
        <f t="shared" si="126"/>
        <v>298</v>
      </c>
      <c r="EF106" s="12">
        <f t="shared" si="127"/>
        <v>224</v>
      </c>
      <c r="EG106" s="12">
        <f t="shared" si="128"/>
        <v>214</v>
      </c>
      <c r="EH106" s="12">
        <f t="shared" si="129"/>
        <v>214</v>
      </c>
      <c r="EI106" s="12">
        <f t="shared" si="130"/>
        <v>204</v>
      </c>
      <c r="EJ106" s="12">
        <f t="shared" si="131"/>
        <v>194</v>
      </c>
      <c r="EK106" s="12">
        <f t="shared" si="132"/>
        <v>372</v>
      </c>
      <c r="EL106" s="12">
        <f t="shared" si="133"/>
        <v>214</v>
      </c>
      <c r="EM106" s="12">
        <f t="shared" si="134"/>
        <v>204</v>
      </c>
      <c r="EN106" s="12">
        <f t="shared" si="135"/>
        <v>278</v>
      </c>
      <c r="EO106" s="12">
        <f t="shared" si="136"/>
        <v>194</v>
      </c>
      <c r="EP106" s="12">
        <f t="shared" si="137"/>
        <v>184</v>
      </c>
      <c r="EQ106" s="12">
        <f t="shared" si="138"/>
        <v>174</v>
      </c>
      <c r="ER106" s="12">
        <f t="shared" si="139"/>
        <v>268</v>
      </c>
      <c r="ES106" s="12">
        <f t="shared" si="140"/>
        <v>248</v>
      </c>
      <c r="ET106" s="12">
        <f t="shared" si="141"/>
        <v>164</v>
      </c>
      <c r="EU106" s="12">
        <f t="shared" si="142"/>
        <v>238</v>
      </c>
      <c r="EV106" s="12">
        <f t="shared" si="143"/>
        <v>164</v>
      </c>
      <c r="EW106" s="12">
        <f t="shared" si="144"/>
        <v>144</v>
      </c>
      <c r="EX106" s="12">
        <f t="shared" si="145"/>
        <v>134</v>
      </c>
      <c r="EY106" s="12">
        <f t="shared" si="146"/>
        <v>114</v>
      </c>
      <c r="EZ106" s="12">
        <v>106</v>
      </c>
    </row>
    <row r="107" spans="1:166" ht="13.35" customHeight="1" x14ac:dyDescent="0.2">
      <c r="A107" s="21">
        <f t="shared" si="147"/>
        <v>106</v>
      </c>
      <c r="B107" s="22">
        <f t="shared" si="149"/>
        <v>22</v>
      </c>
      <c r="C107" s="21">
        <f t="shared" si="121"/>
        <v>346</v>
      </c>
      <c r="D107" s="12">
        <v>50</v>
      </c>
      <c r="E107" s="27" t="s">
        <v>695</v>
      </c>
      <c r="W107" s="12">
        <v>5</v>
      </c>
      <c r="AD107" s="12">
        <v>5</v>
      </c>
      <c r="AQ107" s="12">
        <v>5</v>
      </c>
      <c r="DQ107" s="35">
        <v>104</v>
      </c>
      <c r="DR107" s="32">
        <v>72</v>
      </c>
      <c r="DS107" s="73">
        <v>97</v>
      </c>
      <c r="DT107" s="71">
        <v>25</v>
      </c>
      <c r="DU107" s="21">
        <v>169</v>
      </c>
      <c r="DV107" s="31">
        <f t="shared" si="117"/>
        <v>204</v>
      </c>
      <c r="DW107" s="30">
        <f t="shared" si="148"/>
        <v>372</v>
      </c>
      <c r="DX107" s="36">
        <v>25</v>
      </c>
      <c r="DY107" s="23">
        <v>142</v>
      </c>
      <c r="DZ107" s="12">
        <v>105</v>
      </c>
      <c r="EA107" s="12">
        <f t="shared" si="122"/>
        <v>445</v>
      </c>
      <c r="EB107" s="12">
        <f t="shared" si="123"/>
        <v>490</v>
      </c>
      <c r="EC107" s="12">
        <f t="shared" si="124"/>
        <v>480</v>
      </c>
      <c r="ED107" s="12">
        <f t="shared" si="125"/>
        <v>385</v>
      </c>
      <c r="EE107" s="12">
        <f t="shared" si="126"/>
        <v>300</v>
      </c>
      <c r="EF107" s="12">
        <f t="shared" si="127"/>
        <v>225</v>
      </c>
      <c r="EG107" s="12">
        <f t="shared" si="128"/>
        <v>215</v>
      </c>
      <c r="EH107" s="12">
        <f t="shared" si="129"/>
        <v>215</v>
      </c>
      <c r="EI107" s="12">
        <f t="shared" si="130"/>
        <v>205</v>
      </c>
      <c r="EJ107" s="12">
        <f t="shared" si="131"/>
        <v>195</v>
      </c>
      <c r="EK107" s="12">
        <f t="shared" si="132"/>
        <v>375</v>
      </c>
      <c r="EL107" s="12">
        <f t="shared" si="133"/>
        <v>215</v>
      </c>
      <c r="EM107" s="12">
        <f t="shared" si="134"/>
        <v>205</v>
      </c>
      <c r="EN107" s="12">
        <f t="shared" si="135"/>
        <v>280</v>
      </c>
      <c r="EO107" s="12">
        <f t="shared" si="136"/>
        <v>195</v>
      </c>
      <c r="EP107" s="12">
        <f t="shared" si="137"/>
        <v>185</v>
      </c>
      <c r="EQ107" s="12">
        <f t="shared" si="138"/>
        <v>175</v>
      </c>
      <c r="ER107" s="12">
        <f t="shared" si="139"/>
        <v>270</v>
      </c>
      <c r="ES107" s="12">
        <f t="shared" si="140"/>
        <v>250</v>
      </c>
      <c r="ET107" s="12">
        <f t="shared" si="141"/>
        <v>165</v>
      </c>
      <c r="EU107" s="12">
        <f t="shared" si="142"/>
        <v>240</v>
      </c>
      <c r="EV107" s="12">
        <f t="shared" si="143"/>
        <v>165</v>
      </c>
      <c r="EW107" s="12">
        <f t="shared" si="144"/>
        <v>145</v>
      </c>
      <c r="EX107" s="12">
        <f t="shared" si="145"/>
        <v>135</v>
      </c>
      <c r="EY107" s="12">
        <f t="shared" si="146"/>
        <v>115</v>
      </c>
      <c r="EZ107" s="12">
        <v>107</v>
      </c>
    </row>
    <row r="108" spans="1:166" ht="13.35" customHeight="1" x14ac:dyDescent="0.2">
      <c r="A108" s="21">
        <f t="shared" si="147"/>
        <v>107</v>
      </c>
      <c r="B108" s="22">
        <f t="shared" si="149"/>
        <v>24</v>
      </c>
      <c r="C108" s="21">
        <f t="shared" si="121"/>
        <v>379</v>
      </c>
      <c r="D108" s="12">
        <v>51</v>
      </c>
      <c r="E108" s="27" t="s">
        <v>701</v>
      </c>
      <c r="F108" s="12">
        <v>20</v>
      </c>
      <c r="G108" s="12">
        <v>10</v>
      </c>
      <c r="H108" s="12">
        <v>15</v>
      </c>
      <c r="J108" s="12">
        <v>5</v>
      </c>
      <c r="M108" s="12">
        <v>5</v>
      </c>
      <c r="T108" s="12">
        <v>5</v>
      </c>
      <c r="U108" s="12">
        <v>10</v>
      </c>
      <c r="V108" s="12">
        <v>5</v>
      </c>
      <c r="W108" s="12">
        <v>5</v>
      </c>
      <c r="X108" s="12">
        <v>5</v>
      </c>
      <c r="Y108" s="12">
        <v>5</v>
      </c>
      <c r="AC108" s="12">
        <v>5</v>
      </c>
      <c r="AD108" s="12">
        <v>10</v>
      </c>
      <c r="AH108" s="12">
        <v>10</v>
      </c>
      <c r="AJ108" s="12">
        <v>10</v>
      </c>
      <c r="AQ108" s="12">
        <v>10</v>
      </c>
      <c r="AU108" s="12">
        <v>10</v>
      </c>
      <c r="AX108" s="12">
        <v>5</v>
      </c>
      <c r="AY108" s="12">
        <v>10</v>
      </c>
      <c r="AZ108" s="12">
        <v>5</v>
      </c>
      <c r="BA108" s="12">
        <v>5</v>
      </c>
      <c r="BB108" s="12">
        <v>10</v>
      </c>
      <c r="BD108" s="12">
        <v>10</v>
      </c>
      <c r="BF108" s="12">
        <v>10</v>
      </c>
      <c r="BH108" s="12">
        <v>5</v>
      </c>
      <c r="BI108" s="12">
        <v>10</v>
      </c>
      <c r="BK108" s="12">
        <v>5</v>
      </c>
      <c r="BN108" s="12">
        <v>10</v>
      </c>
      <c r="BP108" s="12">
        <v>10</v>
      </c>
      <c r="BT108" s="12">
        <v>5</v>
      </c>
      <c r="BU108" s="12">
        <v>5</v>
      </c>
      <c r="BV108" s="12">
        <v>10</v>
      </c>
      <c r="BW108" s="12">
        <v>10</v>
      </c>
      <c r="BZ108" s="12">
        <v>5</v>
      </c>
      <c r="CA108" s="12">
        <v>5</v>
      </c>
      <c r="CD108" s="12">
        <v>5</v>
      </c>
      <c r="CE108" s="12">
        <v>5</v>
      </c>
      <c r="CF108" s="12">
        <v>10</v>
      </c>
      <c r="CG108" s="12">
        <v>5</v>
      </c>
      <c r="CH108" s="12">
        <v>10</v>
      </c>
      <c r="CI108" s="12">
        <v>10</v>
      </c>
      <c r="CJ108" s="12">
        <v>5</v>
      </c>
      <c r="CK108" s="12">
        <v>10</v>
      </c>
      <c r="CL108" s="12">
        <v>5</v>
      </c>
      <c r="CM108" s="12">
        <v>10</v>
      </c>
      <c r="CO108" s="12">
        <v>15</v>
      </c>
      <c r="CQ108" s="12">
        <v>10</v>
      </c>
      <c r="CS108" s="12">
        <v>15</v>
      </c>
      <c r="CT108" s="12">
        <v>10</v>
      </c>
      <c r="CU108" s="12">
        <v>5</v>
      </c>
      <c r="CV108" s="12">
        <v>10</v>
      </c>
      <c r="CY108" s="12">
        <v>5</v>
      </c>
      <c r="DA108" s="12">
        <v>15</v>
      </c>
      <c r="DC108" s="12">
        <v>5</v>
      </c>
      <c r="DQ108" s="35">
        <v>105</v>
      </c>
      <c r="DR108" s="32">
        <v>73</v>
      </c>
      <c r="DS108" s="73">
        <v>97.5</v>
      </c>
      <c r="DT108" s="71">
        <v>25</v>
      </c>
      <c r="DU108" s="21">
        <v>170</v>
      </c>
      <c r="DV108" s="31">
        <f t="shared" si="117"/>
        <v>205</v>
      </c>
      <c r="DW108" s="30">
        <f t="shared" si="148"/>
        <v>375</v>
      </c>
      <c r="DX108" s="36">
        <v>25</v>
      </c>
      <c r="DY108" s="23">
        <v>142.5</v>
      </c>
      <c r="DZ108" s="12">
        <v>106</v>
      </c>
      <c r="EA108" s="12">
        <f t="shared" si="122"/>
        <v>448</v>
      </c>
      <c r="EB108" s="12">
        <f t="shared" si="123"/>
        <v>494</v>
      </c>
      <c r="EC108" s="12">
        <f t="shared" si="124"/>
        <v>484</v>
      </c>
      <c r="ED108" s="12">
        <f t="shared" si="125"/>
        <v>388</v>
      </c>
      <c r="EE108" s="12">
        <f t="shared" si="126"/>
        <v>302</v>
      </c>
      <c r="EF108" s="12">
        <f t="shared" si="127"/>
        <v>226</v>
      </c>
      <c r="EG108" s="12">
        <f t="shared" si="128"/>
        <v>216</v>
      </c>
      <c r="EH108" s="12">
        <f t="shared" si="129"/>
        <v>216</v>
      </c>
      <c r="EI108" s="12">
        <f t="shared" si="130"/>
        <v>206</v>
      </c>
      <c r="EJ108" s="12">
        <f t="shared" si="131"/>
        <v>196</v>
      </c>
      <c r="EK108" s="12">
        <f t="shared" si="132"/>
        <v>378</v>
      </c>
      <c r="EL108" s="12">
        <f t="shared" si="133"/>
        <v>216</v>
      </c>
      <c r="EM108" s="12">
        <f t="shared" si="134"/>
        <v>206</v>
      </c>
      <c r="EN108" s="12">
        <f t="shared" si="135"/>
        <v>282</v>
      </c>
      <c r="EO108" s="12">
        <f t="shared" si="136"/>
        <v>196</v>
      </c>
      <c r="EP108" s="12">
        <f t="shared" si="137"/>
        <v>186</v>
      </c>
      <c r="EQ108" s="12">
        <f t="shared" si="138"/>
        <v>176</v>
      </c>
      <c r="ER108" s="12">
        <f t="shared" si="139"/>
        <v>272</v>
      </c>
      <c r="ES108" s="12">
        <f t="shared" si="140"/>
        <v>252</v>
      </c>
      <c r="ET108" s="12">
        <f t="shared" si="141"/>
        <v>166</v>
      </c>
      <c r="EU108" s="12">
        <f t="shared" si="142"/>
        <v>242</v>
      </c>
      <c r="EV108" s="12">
        <f t="shared" si="143"/>
        <v>166</v>
      </c>
      <c r="EW108" s="12">
        <f t="shared" si="144"/>
        <v>146</v>
      </c>
      <c r="EX108" s="12">
        <f t="shared" si="145"/>
        <v>136</v>
      </c>
      <c r="EY108" s="12">
        <f t="shared" si="146"/>
        <v>116</v>
      </c>
      <c r="EZ108" s="12">
        <v>108</v>
      </c>
    </row>
    <row r="109" spans="1:166" ht="13.35" customHeight="1" x14ac:dyDescent="0.2">
      <c r="A109" s="21">
        <f t="shared" si="147"/>
        <v>108</v>
      </c>
      <c r="B109" s="22">
        <f t="shared" si="149"/>
        <v>26</v>
      </c>
      <c r="C109" s="21">
        <f t="shared" si="121"/>
        <v>414</v>
      </c>
      <c r="D109" s="12">
        <v>52</v>
      </c>
      <c r="E109" s="27" t="s">
        <v>707</v>
      </c>
      <c r="F109" s="12">
        <v>20</v>
      </c>
      <c r="G109" s="12">
        <v>10</v>
      </c>
      <c r="H109" s="12">
        <v>15</v>
      </c>
      <c r="J109" s="12">
        <v>5</v>
      </c>
      <c r="M109" s="12">
        <v>5</v>
      </c>
      <c r="T109" s="12">
        <v>5</v>
      </c>
      <c r="U109" s="12">
        <v>10</v>
      </c>
      <c r="V109" s="12">
        <v>5</v>
      </c>
      <c r="W109" s="12">
        <v>5</v>
      </c>
      <c r="X109" s="12">
        <v>5</v>
      </c>
      <c r="Y109" s="12">
        <v>5</v>
      </c>
      <c r="AC109" s="12">
        <v>5</v>
      </c>
      <c r="AD109" s="12">
        <v>10</v>
      </c>
      <c r="AH109" s="12">
        <v>10</v>
      </c>
      <c r="AJ109" s="12">
        <v>10</v>
      </c>
      <c r="AQ109" s="12">
        <v>10</v>
      </c>
      <c r="AU109" s="12">
        <v>10</v>
      </c>
      <c r="AX109" s="12">
        <v>5</v>
      </c>
      <c r="AY109" s="12">
        <v>10</v>
      </c>
      <c r="AZ109" s="12">
        <v>5</v>
      </c>
      <c r="BA109" s="12">
        <v>5</v>
      </c>
      <c r="BB109" s="12">
        <v>10</v>
      </c>
      <c r="BD109" s="12">
        <v>10</v>
      </c>
      <c r="BF109" s="12">
        <v>10</v>
      </c>
      <c r="BH109" s="12">
        <v>5</v>
      </c>
      <c r="BI109" s="12">
        <v>10</v>
      </c>
      <c r="BK109" s="12">
        <v>5</v>
      </c>
      <c r="BN109" s="12">
        <v>10</v>
      </c>
      <c r="BP109" s="12">
        <v>10</v>
      </c>
      <c r="BT109" s="12">
        <v>5</v>
      </c>
      <c r="BU109" s="12">
        <v>5</v>
      </c>
      <c r="BV109" s="12">
        <v>10</v>
      </c>
      <c r="BW109" s="12">
        <v>10</v>
      </c>
      <c r="BZ109" s="12">
        <v>5</v>
      </c>
      <c r="CA109" s="12">
        <v>5</v>
      </c>
      <c r="CD109" s="12">
        <v>5</v>
      </c>
      <c r="CE109" s="12">
        <v>5</v>
      </c>
      <c r="CF109" s="12">
        <v>10</v>
      </c>
      <c r="CG109" s="12">
        <v>5</v>
      </c>
      <c r="CH109" s="12">
        <v>10</v>
      </c>
      <c r="CI109" s="12">
        <v>10</v>
      </c>
      <c r="CJ109" s="12">
        <v>5</v>
      </c>
      <c r="CK109" s="12">
        <v>10</v>
      </c>
      <c r="CL109" s="12">
        <v>5</v>
      </c>
      <c r="CM109" s="12">
        <v>10</v>
      </c>
      <c r="CO109" s="12">
        <v>15</v>
      </c>
      <c r="CQ109" s="12">
        <v>10</v>
      </c>
      <c r="CS109" s="12">
        <v>15</v>
      </c>
      <c r="CT109" s="12">
        <v>10</v>
      </c>
      <c r="CU109" s="12">
        <v>5</v>
      </c>
      <c r="CV109" s="12">
        <v>10</v>
      </c>
      <c r="CY109" s="12">
        <v>5</v>
      </c>
      <c r="DA109" s="12">
        <v>15</v>
      </c>
      <c r="DC109" s="12">
        <v>5</v>
      </c>
      <c r="DQ109" s="35">
        <v>106</v>
      </c>
      <c r="DR109" s="32">
        <v>73</v>
      </c>
      <c r="DS109" s="73">
        <v>98</v>
      </c>
      <c r="DT109" s="71">
        <v>25</v>
      </c>
      <c r="DU109" s="21">
        <v>171</v>
      </c>
      <c r="DV109" s="31">
        <f t="shared" si="117"/>
        <v>206</v>
      </c>
      <c r="DW109" s="30">
        <f t="shared" si="148"/>
        <v>378</v>
      </c>
      <c r="DX109" s="36">
        <v>25</v>
      </c>
      <c r="DY109" s="23">
        <v>143</v>
      </c>
      <c r="DZ109" s="12">
        <v>107</v>
      </c>
      <c r="EA109" s="12">
        <f t="shared" si="122"/>
        <v>451</v>
      </c>
      <c r="EB109" s="12">
        <f t="shared" si="123"/>
        <v>498</v>
      </c>
      <c r="EC109" s="12">
        <f t="shared" si="124"/>
        <v>488</v>
      </c>
      <c r="ED109" s="12">
        <f t="shared" si="125"/>
        <v>391</v>
      </c>
      <c r="EE109" s="12">
        <f t="shared" si="126"/>
        <v>304</v>
      </c>
      <c r="EF109" s="12">
        <f t="shared" si="127"/>
        <v>227</v>
      </c>
      <c r="EG109" s="12">
        <f t="shared" si="128"/>
        <v>217</v>
      </c>
      <c r="EH109" s="12">
        <f t="shared" si="129"/>
        <v>217</v>
      </c>
      <c r="EI109" s="12">
        <f t="shared" si="130"/>
        <v>207</v>
      </c>
      <c r="EJ109" s="12">
        <f t="shared" si="131"/>
        <v>197</v>
      </c>
      <c r="EK109" s="12">
        <f t="shared" si="132"/>
        <v>381</v>
      </c>
      <c r="EL109" s="12">
        <f t="shared" si="133"/>
        <v>217</v>
      </c>
      <c r="EM109" s="12">
        <f t="shared" si="134"/>
        <v>207</v>
      </c>
      <c r="EN109" s="12">
        <f t="shared" si="135"/>
        <v>284</v>
      </c>
      <c r="EO109" s="12">
        <f t="shared" si="136"/>
        <v>197</v>
      </c>
      <c r="EP109" s="12">
        <f t="shared" si="137"/>
        <v>187</v>
      </c>
      <c r="EQ109" s="12">
        <f t="shared" si="138"/>
        <v>177</v>
      </c>
      <c r="ER109" s="12">
        <f t="shared" si="139"/>
        <v>274</v>
      </c>
      <c r="ES109" s="12">
        <f t="shared" si="140"/>
        <v>254</v>
      </c>
      <c r="ET109" s="12">
        <f t="shared" si="141"/>
        <v>167</v>
      </c>
      <c r="EU109" s="12">
        <f t="shared" si="142"/>
        <v>244</v>
      </c>
      <c r="EV109" s="12">
        <f t="shared" si="143"/>
        <v>167</v>
      </c>
      <c r="EW109" s="12">
        <f t="shared" si="144"/>
        <v>147</v>
      </c>
      <c r="EX109" s="12">
        <f t="shared" si="145"/>
        <v>137</v>
      </c>
      <c r="EY109" s="12">
        <f t="shared" si="146"/>
        <v>117</v>
      </c>
      <c r="EZ109" s="12">
        <v>109</v>
      </c>
    </row>
    <row r="110" spans="1:166" ht="13.35" customHeight="1" x14ac:dyDescent="0.2">
      <c r="A110" s="21">
        <f t="shared" si="147"/>
        <v>109</v>
      </c>
      <c r="B110" s="22">
        <f t="shared" si="149"/>
        <v>28</v>
      </c>
      <c r="C110" s="21">
        <f t="shared" si="121"/>
        <v>451</v>
      </c>
      <c r="D110" s="12">
        <v>53</v>
      </c>
      <c r="E110" s="27" t="s">
        <v>711</v>
      </c>
      <c r="F110" s="12">
        <v>20</v>
      </c>
      <c r="G110" s="12">
        <v>10</v>
      </c>
      <c r="H110" s="12">
        <v>15</v>
      </c>
      <c r="J110" s="12">
        <v>5</v>
      </c>
      <c r="M110" s="12">
        <v>5</v>
      </c>
      <c r="T110" s="12">
        <v>5</v>
      </c>
      <c r="U110" s="12">
        <v>10</v>
      </c>
      <c r="V110" s="12">
        <v>5</v>
      </c>
      <c r="W110" s="12">
        <v>5</v>
      </c>
      <c r="X110" s="12">
        <v>5</v>
      </c>
      <c r="Y110" s="12">
        <v>5</v>
      </c>
      <c r="AC110" s="12">
        <v>5</v>
      </c>
      <c r="AD110" s="12">
        <v>10</v>
      </c>
      <c r="AH110" s="12">
        <v>10</v>
      </c>
      <c r="AJ110" s="12">
        <v>10</v>
      </c>
      <c r="AQ110" s="12">
        <v>10</v>
      </c>
      <c r="AU110" s="12">
        <v>10</v>
      </c>
      <c r="AX110" s="12">
        <v>5</v>
      </c>
      <c r="AY110" s="12">
        <v>10</v>
      </c>
      <c r="AZ110" s="12">
        <v>5</v>
      </c>
      <c r="BA110" s="12">
        <v>5</v>
      </c>
      <c r="BB110" s="12">
        <v>10</v>
      </c>
      <c r="BD110" s="12">
        <v>10</v>
      </c>
      <c r="BF110" s="12">
        <v>10</v>
      </c>
      <c r="BH110" s="12">
        <v>5</v>
      </c>
      <c r="BI110" s="12">
        <v>10</v>
      </c>
      <c r="BK110" s="12">
        <v>5</v>
      </c>
      <c r="BN110" s="12">
        <v>10</v>
      </c>
      <c r="BP110" s="12">
        <v>10</v>
      </c>
      <c r="BT110" s="12">
        <v>5</v>
      </c>
      <c r="BU110" s="12">
        <v>5</v>
      </c>
      <c r="BV110" s="12">
        <v>10</v>
      </c>
      <c r="BW110" s="12">
        <v>10</v>
      </c>
      <c r="BZ110" s="12">
        <v>5</v>
      </c>
      <c r="CA110" s="12">
        <v>5</v>
      </c>
      <c r="CD110" s="12">
        <v>5</v>
      </c>
      <c r="CE110" s="12">
        <v>5</v>
      </c>
      <c r="CF110" s="12">
        <v>10</v>
      </c>
      <c r="CG110" s="12">
        <v>5</v>
      </c>
      <c r="CH110" s="12">
        <v>10</v>
      </c>
      <c r="CI110" s="12">
        <v>10</v>
      </c>
      <c r="CJ110" s="12">
        <v>5</v>
      </c>
      <c r="CK110" s="12">
        <v>10</v>
      </c>
      <c r="CL110" s="12">
        <v>5</v>
      </c>
      <c r="CM110" s="12">
        <v>10</v>
      </c>
      <c r="CO110" s="12">
        <v>15</v>
      </c>
      <c r="CQ110" s="12">
        <v>10</v>
      </c>
      <c r="CS110" s="12">
        <v>15</v>
      </c>
      <c r="CT110" s="12">
        <v>10</v>
      </c>
      <c r="CU110" s="12">
        <v>5</v>
      </c>
      <c r="CV110" s="12">
        <v>10</v>
      </c>
      <c r="CY110" s="12">
        <v>5</v>
      </c>
      <c r="DA110" s="12">
        <v>15</v>
      </c>
      <c r="DC110" s="12">
        <v>5</v>
      </c>
      <c r="DQ110" s="35">
        <v>107</v>
      </c>
      <c r="DR110" s="32">
        <v>74</v>
      </c>
      <c r="DS110" s="73">
        <v>98.5</v>
      </c>
      <c r="DT110" s="71">
        <v>25</v>
      </c>
      <c r="DU110" s="21">
        <v>172</v>
      </c>
      <c r="DV110" s="31">
        <f t="shared" si="117"/>
        <v>207</v>
      </c>
      <c r="DW110" s="30">
        <f t="shared" si="148"/>
        <v>381</v>
      </c>
      <c r="DX110" s="36">
        <v>25</v>
      </c>
      <c r="DY110" s="23">
        <v>143.5</v>
      </c>
      <c r="DZ110" s="12">
        <v>108</v>
      </c>
      <c r="EA110" s="12">
        <f t="shared" si="122"/>
        <v>454</v>
      </c>
      <c r="EB110" s="12">
        <f t="shared" si="123"/>
        <v>502</v>
      </c>
      <c r="EC110" s="12">
        <f t="shared" si="124"/>
        <v>492</v>
      </c>
      <c r="ED110" s="12">
        <f t="shared" si="125"/>
        <v>394</v>
      </c>
      <c r="EE110" s="12">
        <f t="shared" si="126"/>
        <v>306</v>
      </c>
      <c r="EF110" s="12">
        <f t="shared" si="127"/>
        <v>228</v>
      </c>
      <c r="EG110" s="12">
        <f t="shared" si="128"/>
        <v>218</v>
      </c>
      <c r="EH110" s="12">
        <f t="shared" si="129"/>
        <v>218</v>
      </c>
      <c r="EI110" s="12">
        <f t="shared" si="130"/>
        <v>208</v>
      </c>
      <c r="EJ110" s="12">
        <f t="shared" si="131"/>
        <v>198</v>
      </c>
      <c r="EK110" s="12">
        <f t="shared" si="132"/>
        <v>384</v>
      </c>
      <c r="EL110" s="12">
        <f t="shared" si="133"/>
        <v>218</v>
      </c>
      <c r="EM110" s="12">
        <f t="shared" si="134"/>
        <v>208</v>
      </c>
      <c r="EN110" s="12">
        <f t="shared" si="135"/>
        <v>286</v>
      </c>
      <c r="EO110" s="12">
        <f t="shared" si="136"/>
        <v>198</v>
      </c>
      <c r="EP110" s="12">
        <f t="shared" si="137"/>
        <v>188</v>
      </c>
      <c r="EQ110" s="12">
        <f t="shared" si="138"/>
        <v>178</v>
      </c>
      <c r="ER110" s="12">
        <f t="shared" si="139"/>
        <v>276</v>
      </c>
      <c r="ES110" s="12">
        <f t="shared" si="140"/>
        <v>256</v>
      </c>
      <c r="ET110" s="12">
        <f t="shared" si="141"/>
        <v>168</v>
      </c>
      <c r="EU110" s="12">
        <f t="shared" si="142"/>
        <v>246</v>
      </c>
      <c r="EV110" s="12">
        <f t="shared" si="143"/>
        <v>168</v>
      </c>
      <c r="EW110" s="12">
        <f t="shared" si="144"/>
        <v>148</v>
      </c>
      <c r="EX110" s="12">
        <f t="shared" si="145"/>
        <v>138</v>
      </c>
      <c r="EY110" s="12">
        <f t="shared" si="146"/>
        <v>118</v>
      </c>
      <c r="EZ110" s="12">
        <v>110</v>
      </c>
    </row>
    <row r="111" spans="1:166" ht="13.35" customHeight="1" x14ac:dyDescent="0.2">
      <c r="A111" s="21">
        <f t="shared" si="147"/>
        <v>110</v>
      </c>
      <c r="B111" s="22">
        <f t="shared" si="149"/>
        <v>30</v>
      </c>
      <c r="C111" s="21">
        <f t="shared" si="121"/>
        <v>490</v>
      </c>
      <c r="D111" s="12">
        <v>54</v>
      </c>
      <c r="E111" s="27" t="s">
        <v>715</v>
      </c>
      <c r="F111" s="12">
        <v>20</v>
      </c>
      <c r="G111" s="12">
        <v>10</v>
      </c>
      <c r="H111" s="12">
        <v>15</v>
      </c>
      <c r="J111" s="12">
        <v>5</v>
      </c>
      <c r="M111" s="12">
        <v>5</v>
      </c>
      <c r="T111" s="12">
        <v>5</v>
      </c>
      <c r="U111" s="12">
        <v>10</v>
      </c>
      <c r="V111" s="12">
        <v>5</v>
      </c>
      <c r="W111" s="12">
        <v>5</v>
      </c>
      <c r="X111" s="12">
        <v>5</v>
      </c>
      <c r="Y111" s="12">
        <v>5</v>
      </c>
      <c r="AC111" s="12">
        <v>5</v>
      </c>
      <c r="AD111" s="12">
        <v>10</v>
      </c>
      <c r="AH111" s="12">
        <v>10</v>
      </c>
      <c r="AJ111" s="12">
        <v>10</v>
      </c>
      <c r="AQ111" s="12">
        <v>10</v>
      </c>
      <c r="AU111" s="12">
        <v>10</v>
      </c>
      <c r="AX111" s="12">
        <v>5</v>
      </c>
      <c r="AY111" s="12">
        <v>10</v>
      </c>
      <c r="AZ111" s="12">
        <v>5</v>
      </c>
      <c r="BA111" s="12">
        <v>5</v>
      </c>
      <c r="BB111" s="12">
        <v>10</v>
      </c>
      <c r="BC111" s="12">
        <v>5</v>
      </c>
      <c r="BD111" s="12">
        <v>10</v>
      </c>
      <c r="BE111" s="12">
        <v>5</v>
      </c>
      <c r="BF111" s="12">
        <v>10</v>
      </c>
      <c r="BH111" s="12">
        <v>5</v>
      </c>
      <c r="BI111" s="12">
        <v>10</v>
      </c>
      <c r="BK111" s="12">
        <v>5</v>
      </c>
      <c r="BM111" s="12">
        <v>5</v>
      </c>
      <c r="BN111" s="12">
        <v>10</v>
      </c>
      <c r="BO111" s="12">
        <v>10</v>
      </c>
      <c r="BP111" s="12">
        <v>10</v>
      </c>
      <c r="BT111" s="12">
        <v>5</v>
      </c>
      <c r="BU111" s="12">
        <v>5</v>
      </c>
      <c r="BV111" s="12">
        <v>10</v>
      </c>
      <c r="BW111" s="12">
        <v>10</v>
      </c>
      <c r="BX111" s="12">
        <v>10</v>
      </c>
      <c r="BZ111" s="12">
        <v>5</v>
      </c>
      <c r="CA111" s="12">
        <v>5</v>
      </c>
      <c r="CD111" s="12">
        <v>5</v>
      </c>
      <c r="CE111" s="12">
        <v>5</v>
      </c>
      <c r="CF111" s="12">
        <v>10</v>
      </c>
      <c r="CG111" s="12">
        <v>5</v>
      </c>
      <c r="CH111" s="12">
        <v>10</v>
      </c>
      <c r="CI111" s="12">
        <v>10</v>
      </c>
      <c r="CJ111" s="12">
        <v>5</v>
      </c>
      <c r="CK111" s="12">
        <v>10</v>
      </c>
      <c r="CL111" s="12">
        <v>5</v>
      </c>
      <c r="CM111" s="12">
        <v>10</v>
      </c>
      <c r="CO111" s="12">
        <v>15</v>
      </c>
      <c r="CP111" s="12">
        <v>10</v>
      </c>
      <c r="CQ111" s="12">
        <v>10</v>
      </c>
      <c r="CS111" s="12">
        <v>15</v>
      </c>
      <c r="CT111" s="12">
        <v>10</v>
      </c>
      <c r="CU111" s="12">
        <v>5</v>
      </c>
      <c r="CV111" s="12">
        <v>10</v>
      </c>
      <c r="CY111" s="12">
        <v>5</v>
      </c>
      <c r="DA111" s="12">
        <v>15</v>
      </c>
      <c r="DC111" s="12">
        <v>5</v>
      </c>
      <c r="DQ111" s="35">
        <v>108</v>
      </c>
      <c r="DR111" s="32">
        <v>74</v>
      </c>
      <c r="DS111" s="73">
        <v>99</v>
      </c>
      <c r="DT111" s="71">
        <v>25</v>
      </c>
      <c r="DU111" s="21">
        <v>173</v>
      </c>
      <c r="DV111" s="31">
        <f t="shared" si="117"/>
        <v>208</v>
      </c>
      <c r="DW111" s="30">
        <f t="shared" si="148"/>
        <v>384</v>
      </c>
      <c r="DX111" s="36">
        <v>25</v>
      </c>
      <c r="DY111" s="23">
        <v>144</v>
      </c>
      <c r="DZ111" s="12">
        <v>109</v>
      </c>
      <c r="EA111" s="12">
        <f t="shared" si="122"/>
        <v>457</v>
      </c>
      <c r="EB111" s="12">
        <f t="shared" si="123"/>
        <v>506</v>
      </c>
      <c r="EC111" s="12">
        <f t="shared" si="124"/>
        <v>496</v>
      </c>
      <c r="ED111" s="12">
        <f t="shared" si="125"/>
        <v>397</v>
      </c>
      <c r="EE111" s="12">
        <f t="shared" si="126"/>
        <v>308</v>
      </c>
      <c r="EF111" s="12">
        <f t="shared" si="127"/>
        <v>229</v>
      </c>
      <c r="EG111" s="12">
        <f t="shared" si="128"/>
        <v>219</v>
      </c>
      <c r="EH111" s="12">
        <f t="shared" si="129"/>
        <v>219</v>
      </c>
      <c r="EI111" s="12">
        <f t="shared" si="130"/>
        <v>209</v>
      </c>
      <c r="EJ111" s="12">
        <f t="shared" si="131"/>
        <v>199</v>
      </c>
      <c r="EK111" s="12">
        <f t="shared" si="132"/>
        <v>387</v>
      </c>
      <c r="EL111" s="12">
        <f t="shared" si="133"/>
        <v>219</v>
      </c>
      <c r="EM111" s="12">
        <f t="shared" si="134"/>
        <v>209</v>
      </c>
      <c r="EN111" s="12">
        <f t="shared" si="135"/>
        <v>288</v>
      </c>
      <c r="EO111" s="12">
        <f t="shared" si="136"/>
        <v>199</v>
      </c>
      <c r="EP111" s="12">
        <f t="shared" si="137"/>
        <v>189</v>
      </c>
      <c r="EQ111" s="12">
        <f t="shared" si="138"/>
        <v>179</v>
      </c>
      <c r="ER111" s="12">
        <f t="shared" si="139"/>
        <v>278</v>
      </c>
      <c r="ES111" s="12">
        <f t="shared" si="140"/>
        <v>258</v>
      </c>
      <c r="ET111" s="12">
        <f t="shared" si="141"/>
        <v>169</v>
      </c>
      <c r="EU111" s="12">
        <f t="shared" si="142"/>
        <v>248</v>
      </c>
      <c r="EV111" s="12">
        <f t="shared" si="143"/>
        <v>169</v>
      </c>
      <c r="EW111" s="12">
        <f t="shared" si="144"/>
        <v>149</v>
      </c>
      <c r="EX111" s="12">
        <f t="shared" si="145"/>
        <v>139</v>
      </c>
      <c r="EY111" s="12">
        <f t="shared" si="146"/>
        <v>119</v>
      </c>
      <c r="EZ111" s="12">
        <v>111</v>
      </c>
    </row>
    <row r="112" spans="1:166" ht="13.35" customHeight="1" x14ac:dyDescent="0.2">
      <c r="A112" s="21">
        <f t="shared" si="147"/>
        <v>111</v>
      </c>
      <c r="B112" s="22">
        <f t="shared" si="149"/>
        <v>32</v>
      </c>
      <c r="C112" s="21">
        <f t="shared" si="121"/>
        <v>531</v>
      </c>
      <c r="D112" s="12">
        <v>55</v>
      </c>
      <c r="E112" s="27" t="s">
        <v>720</v>
      </c>
      <c r="F112" s="12">
        <v>20</v>
      </c>
      <c r="G112" s="12">
        <v>10</v>
      </c>
      <c r="H112" s="12">
        <v>15</v>
      </c>
      <c r="J112" s="12">
        <v>5</v>
      </c>
      <c r="M112" s="12">
        <v>5</v>
      </c>
      <c r="T112" s="12">
        <v>5</v>
      </c>
      <c r="U112" s="12">
        <v>10</v>
      </c>
      <c r="V112" s="12">
        <v>5</v>
      </c>
      <c r="W112" s="12">
        <v>5</v>
      </c>
      <c r="X112" s="12">
        <v>5</v>
      </c>
      <c r="Y112" s="12">
        <v>5</v>
      </c>
      <c r="AC112" s="12">
        <v>5</v>
      </c>
      <c r="AD112" s="12">
        <v>10</v>
      </c>
      <c r="AH112" s="12">
        <v>10</v>
      </c>
      <c r="AJ112" s="12">
        <v>10</v>
      </c>
      <c r="AQ112" s="12">
        <v>10</v>
      </c>
      <c r="AU112" s="12">
        <v>10</v>
      </c>
      <c r="AX112" s="12">
        <v>5</v>
      </c>
      <c r="AY112" s="12">
        <v>10</v>
      </c>
      <c r="AZ112" s="12">
        <v>5</v>
      </c>
      <c r="BA112" s="12">
        <v>5</v>
      </c>
      <c r="BB112" s="12">
        <v>10</v>
      </c>
      <c r="BD112" s="12">
        <v>10</v>
      </c>
      <c r="BF112" s="12">
        <v>10</v>
      </c>
      <c r="BH112" s="12">
        <v>5</v>
      </c>
      <c r="BI112" s="12">
        <v>10</v>
      </c>
      <c r="BK112" s="12">
        <v>5</v>
      </c>
      <c r="BN112" s="12">
        <v>10</v>
      </c>
      <c r="BP112" s="12">
        <v>10</v>
      </c>
      <c r="BT112" s="12">
        <v>5</v>
      </c>
      <c r="BU112" s="12">
        <v>5</v>
      </c>
      <c r="BV112" s="12">
        <v>10</v>
      </c>
      <c r="BW112" s="12">
        <v>10</v>
      </c>
      <c r="BZ112" s="12">
        <v>5</v>
      </c>
      <c r="CA112" s="12">
        <v>5</v>
      </c>
      <c r="CD112" s="12">
        <v>5</v>
      </c>
      <c r="CE112" s="12">
        <v>5</v>
      </c>
      <c r="CF112" s="12">
        <v>10</v>
      </c>
      <c r="CG112" s="12">
        <v>5</v>
      </c>
      <c r="CH112" s="12">
        <v>10</v>
      </c>
      <c r="CI112" s="12">
        <v>10</v>
      </c>
      <c r="CJ112" s="12">
        <v>5</v>
      </c>
      <c r="CK112" s="12">
        <v>10</v>
      </c>
      <c r="CL112" s="12">
        <v>5</v>
      </c>
      <c r="CM112" s="12">
        <v>10</v>
      </c>
      <c r="CO112" s="12">
        <v>15</v>
      </c>
      <c r="CQ112" s="12">
        <v>10</v>
      </c>
      <c r="CS112" s="12">
        <v>15</v>
      </c>
      <c r="CT112" s="12">
        <v>10</v>
      </c>
      <c r="CU112" s="12">
        <v>5</v>
      </c>
      <c r="CV112" s="12">
        <v>10</v>
      </c>
      <c r="CY112" s="12">
        <v>5</v>
      </c>
      <c r="DA112" s="12">
        <v>15</v>
      </c>
      <c r="DC112" s="12">
        <v>5</v>
      </c>
      <c r="DQ112" s="35">
        <v>109</v>
      </c>
      <c r="DR112" s="32">
        <v>75</v>
      </c>
      <c r="DS112" s="73">
        <v>99.5</v>
      </c>
      <c r="DT112" s="71">
        <v>25</v>
      </c>
      <c r="DU112" s="21">
        <v>174</v>
      </c>
      <c r="DV112" s="31">
        <f t="shared" si="117"/>
        <v>209</v>
      </c>
      <c r="DW112" s="30">
        <f t="shared" si="148"/>
        <v>387</v>
      </c>
      <c r="DX112" s="36">
        <v>25</v>
      </c>
      <c r="DY112" s="23">
        <v>144.5</v>
      </c>
      <c r="DZ112" s="20">
        <v>110</v>
      </c>
      <c r="EA112" s="12">
        <f t="shared" si="122"/>
        <v>460</v>
      </c>
      <c r="EB112" s="12">
        <f t="shared" si="123"/>
        <v>510</v>
      </c>
      <c r="EC112" s="12">
        <f t="shared" si="124"/>
        <v>500</v>
      </c>
      <c r="ED112" s="12">
        <f t="shared" si="125"/>
        <v>400</v>
      </c>
      <c r="EE112" s="12">
        <f t="shared" si="126"/>
        <v>310</v>
      </c>
      <c r="EF112" s="12">
        <f t="shared" si="127"/>
        <v>230</v>
      </c>
      <c r="EG112" s="12">
        <f t="shared" si="128"/>
        <v>220</v>
      </c>
      <c r="EH112" s="12">
        <f t="shared" si="129"/>
        <v>220</v>
      </c>
      <c r="EI112" s="12">
        <f t="shared" si="130"/>
        <v>210</v>
      </c>
      <c r="EJ112" s="12">
        <f t="shared" si="131"/>
        <v>200</v>
      </c>
      <c r="EK112" s="12">
        <f t="shared" si="132"/>
        <v>390</v>
      </c>
      <c r="EL112" s="12">
        <f t="shared" si="133"/>
        <v>220</v>
      </c>
      <c r="EM112" s="12">
        <f t="shared" si="134"/>
        <v>210</v>
      </c>
      <c r="EN112" s="12">
        <f t="shared" si="135"/>
        <v>290</v>
      </c>
      <c r="EO112" s="12">
        <f t="shared" si="136"/>
        <v>200</v>
      </c>
      <c r="EP112" s="12">
        <f t="shared" si="137"/>
        <v>190</v>
      </c>
      <c r="EQ112" s="12">
        <f t="shared" si="138"/>
        <v>180</v>
      </c>
      <c r="ER112" s="12">
        <f t="shared" si="139"/>
        <v>280</v>
      </c>
      <c r="ES112" s="12">
        <f t="shared" si="140"/>
        <v>260</v>
      </c>
      <c r="ET112" s="12">
        <f t="shared" si="141"/>
        <v>170</v>
      </c>
      <c r="EU112" s="12">
        <f t="shared" si="142"/>
        <v>250</v>
      </c>
      <c r="EV112" s="12">
        <f t="shared" si="143"/>
        <v>170</v>
      </c>
      <c r="EW112" s="12">
        <f t="shared" si="144"/>
        <v>150</v>
      </c>
      <c r="EX112" s="12">
        <f t="shared" si="145"/>
        <v>140</v>
      </c>
      <c r="EY112" s="12">
        <f t="shared" si="146"/>
        <v>120</v>
      </c>
      <c r="EZ112" s="20">
        <v>112</v>
      </c>
    </row>
    <row r="113" spans="1:156" ht="13.35" customHeight="1" x14ac:dyDescent="0.2">
      <c r="A113" s="21">
        <f t="shared" si="147"/>
        <v>112</v>
      </c>
      <c r="B113" s="22">
        <f t="shared" si="149"/>
        <v>34</v>
      </c>
      <c r="C113" s="21">
        <f t="shared" si="121"/>
        <v>574</v>
      </c>
      <c r="D113" s="12">
        <v>56</v>
      </c>
      <c r="E113" s="27" t="s">
        <v>723</v>
      </c>
      <c r="F113" s="12">
        <v>20</v>
      </c>
      <c r="G113" s="12">
        <v>10</v>
      </c>
      <c r="H113" s="12">
        <v>15</v>
      </c>
      <c r="J113" s="12">
        <v>5</v>
      </c>
      <c r="M113" s="12">
        <v>5</v>
      </c>
      <c r="T113" s="12">
        <v>5</v>
      </c>
      <c r="U113" s="12">
        <v>10</v>
      </c>
      <c r="V113" s="12">
        <v>5</v>
      </c>
      <c r="W113" s="12">
        <v>5</v>
      </c>
      <c r="X113" s="12">
        <v>5</v>
      </c>
      <c r="Y113" s="12">
        <v>5</v>
      </c>
      <c r="AC113" s="12">
        <v>5</v>
      </c>
      <c r="AD113" s="12">
        <v>10</v>
      </c>
      <c r="AH113" s="12">
        <v>10</v>
      </c>
      <c r="AJ113" s="12">
        <v>10</v>
      </c>
      <c r="AQ113" s="12">
        <v>10</v>
      </c>
      <c r="AU113" s="12">
        <v>10</v>
      </c>
      <c r="AX113" s="12">
        <v>5</v>
      </c>
      <c r="AY113" s="12">
        <v>10</v>
      </c>
      <c r="AZ113" s="12">
        <v>5</v>
      </c>
      <c r="BA113" s="12">
        <v>5</v>
      </c>
      <c r="BB113" s="12">
        <v>10</v>
      </c>
      <c r="BD113" s="12">
        <v>10</v>
      </c>
      <c r="BF113" s="12">
        <v>10</v>
      </c>
      <c r="BH113" s="12">
        <v>5</v>
      </c>
      <c r="BI113" s="12">
        <v>10</v>
      </c>
      <c r="BK113" s="12">
        <v>5</v>
      </c>
      <c r="BN113" s="12">
        <v>10</v>
      </c>
      <c r="BP113" s="12">
        <v>10</v>
      </c>
      <c r="BT113" s="12">
        <v>5</v>
      </c>
      <c r="BU113" s="12">
        <v>5</v>
      </c>
      <c r="BV113" s="12">
        <v>10</v>
      </c>
      <c r="BW113" s="12">
        <v>10</v>
      </c>
      <c r="BZ113" s="12">
        <v>5</v>
      </c>
      <c r="CA113" s="12">
        <v>5</v>
      </c>
      <c r="CD113" s="12">
        <v>5</v>
      </c>
      <c r="CE113" s="12">
        <v>5</v>
      </c>
      <c r="CF113" s="12">
        <v>10</v>
      </c>
      <c r="CG113" s="12">
        <v>5</v>
      </c>
      <c r="CH113" s="12">
        <v>10</v>
      </c>
      <c r="CI113" s="12">
        <v>10</v>
      </c>
      <c r="CJ113" s="12">
        <v>5</v>
      </c>
      <c r="CK113" s="12">
        <v>10</v>
      </c>
      <c r="CL113" s="12">
        <v>5</v>
      </c>
      <c r="CM113" s="12">
        <v>10</v>
      </c>
      <c r="CO113" s="12">
        <v>15</v>
      </c>
      <c r="CQ113" s="12">
        <v>10</v>
      </c>
      <c r="CS113" s="12">
        <v>15</v>
      </c>
      <c r="CT113" s="12">
        <v>10</v>
      </c>
      <c r="CU113" s="12">
        <v>5</v>
      </c>
      <c r="CV113" s="12">
        <v>10</v>
      </c>
      <c r="CY113" s="12">
        <v>5</v>
      </c>
      <c r="DA113" s="12">
        <v>15</v>
      </c>
      <c r="DC113" s="12">
        <v>5</v>
      </c>
      <c r="DQ113" s="35">
        <v>110</v>
      </c>
      <c r="DR113" s="32">
        <v>75</v>
      </c>
      <c r="DS113" s="73">
        <v>100</v>
      </c>
      <c r="DT113" s="71">
        <v>25</v>
      </c>
      <c r="DU113" s="21">
        <v>175</v>
      </c>
      <c r="DV113" s="31">
        <f t="shared" si="117"/>
        <v>210</v>
      </c>
      <c r="DW113" s="30">
        <f t="shared" si="148"/>
        <v>390</v>
      </c>
      <c r="DX113" s="36">
        <v>25</v>
      </c>
      <c r="DY113" s="23">
        <v>145</v>
      </c>
      <c r="DZ113" s="12">
        <v>111</v>
      </c>
      <c r="EA113" s="12">
        <f t="shared" si="122"/>
        <v>463</v>
      </c>
      <c r="EB113" s="12">
        <f t="shared" si="123"/>
        <v>514</v>
      </c>
      <c r="EC113" s="12">
        <f t="shared" si="124"/>
        <v>504</v>
      </c>
      <c r="ED113" s="12">
        <f t="shared" si="125"/>
        <v>403</v>
      </c>
      <c r="EE113" s="12">
        <f t="shared" si="126"/>
        <v>312</v>
      </c>
      <c r="EF113" s="12">
        <f t="shared" si="127"/>
        <v>231</v>
      </c>
      <c r="EG113" s="12">
        <f t="shared" si="128"/>
        <v>221</v>
      </c>
      <c r="EH113" s="12">
        <f t="shared" si="129"/>
        <v>221</v>
      </c>
      <c r="EI113" s="12">
        <f t="shared" si="130"/>
        <v>211</v>
      </c>
      <c r="EJ113" s="12">
        <f t="shared" si="131"/>
        <v>201</v>
      </c>
      <c r="EK113" s="12">
        <f t="shared" si="132"/>
        <v>393</v>
      </c>
      <c r="EL113" s="12">
        <f t="shared" si="133"/>
        <v>221</v>
      </c>
      <c r="EM113" s="12">
        <f t="shared" si="134"/>
        <v>211</v>
      </c>
      <c r="EN113" s="12">
        <f t="shared" si="135"/>
        <v>292</v>
      </c>
      <c r="EO113" s="12">
        <f t="shared" si="136"/>
        <v>201</v>
      </c>
      <c r="EP113" s="12">
        <f t="shared" si="137"/>
        <v>191</v>
      </c>
      <c r="EQ113" s="12">
        <f t="shared" si="138"/>
        <v>181</v>
      </c>
      <c r="ER113" s="12">
        <f t="shared" si="139"/>
        <v>282</v>
      </c>
      <c r="ES113" s="12">
        <f t="shared" si="140"/>
        <v>262</v>
      </c>
      <c r="ET113" s="12">
        <f t="shared" si="141"/>
        <v>171</v>
      </c>
      <c r="EU113" s="12">
        <f t="shared" si="142"/>
        <v>252</v>
      </c>
      <c r="EV113" s="12">
        <f t="shared" si="143"/>
        <v>171</v>
      </c>
      <c r="EW113" s="12">
        <f t="shared" si="144"/>
        <v>151</v>
      </c>
      <c r="EX113" s="12">
        <f t="shared" si="145"/>
        <v>141</v>
      </c>
      <c r="EY113" s="12">
        <f t="shared" si="146"/>
        <v>121</v>
      </c>
      <c r="EZ113" s="12">
        <v>113</v>
      </c>
    </row>
    <row r="114" spans="1:156" ht="13.35" customHeight="1" x14ac:dyDescent="0.2">
      <c r="A114" s="21">
        <f t="shared" si="147"/>
        <v>113</v>
      </c>
      <c r="B114" s="22">
        <f t="shared" si="149"/>
        <v>36</v>
      </c>
      <c r="C114" s="21">
        <f t="shared" si="121"/>
        <v>619</v>
      </c>
      <c r="D114" s="12">
        <v>57</v>
      </c>
      <c r="E114" s="27" t="s">
        <v>725</v>
      </c>
      <c r="F114" s="12">
        <v>20</v>
      </c>
      <c r="G114" s="12">
        <v>10</v>
      </c>
      <c r="H114" s="12">
        <v>15</v>
      </c>
      <c r="J114" s="12">
        <v>5</v>
      </c>
      <c r="M114" s="12">
        <v>5</v>
      </c>
      <c r="T114" s="12">
        <v>5</v>
      </c>
      <c r="U114" s="12">
        <v>10</v>
      </c>
      <c r="V114" s="12">
        <v>5</v>
      </c>
      <c r="W114" s="12">
        <v>5</v>
      </c>
      <c r="X114" s="12">
        <v>5</v>
      </c>
      <c r="Y114" s="12">
        <v>5</v>
      </c>
      <c r="AC114" s="12">
        <v>5</v>
      </c>
      <c r="AD114" s="12">
        <v>10</v>
      </c>
      <c r="AH114" s="12">
        <v>10</v>
      </c>
      <c r="AJ114" s="12">
        <v>10</v>
      </c>
      <c r="AQ114" s="12">
        <v>10</v>
      </c>
      <c r="AU114" s="12">
        <v>10</v>
      </c>
      <c r="AX114" s="12">
        <v>5</v>
      </c>
      <c r="AY114" s="12">
        <v>10</v>
      </c>
      <c r="AZ114" s="12">
        <v>5</v>
      </c>
      <c r="BA114" s="12">
        <v>5</v>
      </c>
      <c r="BB114" s="12">
        <v>10</v>
      </c>
      <c r="BD114" s="12">
        <v>10</v>
      </c>
      <c r="BF114" s="12">
        <v>10</v>
      </c>
      <c r="BH114" s="12">
        <v>5</v>
      </c>
      <c r="BI114" s="12">
        <v>10</v>
      </c>
      <c r="BK114" s="12">
        <v>5</v>
      </c>
      <c r="BM114" s="12">
        <v>5</v>
      </c>
      <c r="BN114" s="12">
        <v>10</v>
      </c>
      <c r="BO114" s="12">
        <v>10</v>
      </c>
      <c r="BP114" s="12">
        <v>10</v>
      </c>
      <c r="BT114" s="12">
        <v>5</v>
      </c>
      <c r="BU114" s="12">
        <v>5</v>
      </c>
      <c r="BV114" s="12">
        <v>10</v>
      </c>
      <c r="BW114" s="12">
        <v>10</v>
      </c>
      <c r="BZ114" s="12">
        <v>5</v>
      </c>
      <c r="CA114" s="12">
        <v>5</v>
      </c>
      <c r="CD114" s="12">
        <v>5</v>
      </c>
      <c r="CE114" s="12">
        <v>5</v>
      </c>
      <c r="CF114" s="12">
        <v>10</v>
      </c>
      <c r="CG114" s="12">
        <v>5</v>
      </c>
      <c r="CH114" s="12">
        <v>10</v>
      </c>
      <c r="CI114" s="12">
        <v>10</v>
      </c>
      <c r="CJ114" s="12">
        <v>5</v>
      </c>
      <c r="CK114" s="12">
        <v>10</v>
      </c>
      <c r="CL114" s="12">
        <v>5</v>
      </c>
      <c r="CM114" s="12">
        <v>10</v>
      </c>
      <c r="CO114" s="12">
        <v>15</v>
      </c>
      <c r="CP114" s="12">
        <v>10</v>
      </c>
      <c r="CQ114" s="12">
        <v>10</v>
      </c>
      <c r="CS114" s="12">
        <v>15</v>
      </c>
      <c r="CT114" s="12">
        <v>10</v>
      </c>
      <c r="CU114" s="12">
        <v>5</v>
      </c>
      <c r="CV114" s="12">
        <v>10</v>
      </c>
      <c r="CY114" s="12">
        <v>5</v>
      </c>
      <c r="DA114" s="12">
        <v>15</v>
      </c>
      <c r="DC114" s="12">
        <v>5</v>
      </c>
      <c r="DQ114" s="35">
        <v>111</v>
      </c>
      <c r="DR114" s="32">
        <v>76</v>
      </c>
      <c r="DS114" s="73">
        <v>100.5</v>
      </c>
      <c r="DT114" s="71">
        <v>25</v>
      </c>
      <c r="DU114" s="21">
        <v>176</v>
      </c>
      <c r="DV114" s="31">
        <f t="shared" si="117"/>
        <v>211</v>
      </c>
      <c r="DW114" s="30">
        <f t="shared" si="148"/>
        <v>393</v>
      </c>
      <c r="DX114" s="36">
        <v>25</v>
      </c>
      <c r="DY114" s="23">
        <v>145.5</v>
      </c>
      <c r="DZ114" s="12">
        <v>112</v>
      </c>
      <c r="EA114" s="12">
        <f t="shared" si="122"/>
        <v>466</v>
      </c>
      <c r="EB114" s="12">
        <f t="shared" si="123"/>
        <v>518</v>
      </c>
      <c r="EC114" s="12">
        <f t="shared" si="124"/>
        <v>508</v>
      </c>
      <c r="ED114" s="12">
        <f t="shared" si="125"/>
        <v>406</v>
      </c>
      <c r="EE114" s="12">
        <f t="shared" si="126"/>
        <v>314</v>
      </c>
      <c r="EF114" s="12">
        <f t="shared" si="127"/>
        <v>232</v>
      </c>
      <c r="EG114" s="12">
        <f t="shared" si="128"/>
        <v>222</v>
      </c>
      <c r="EH114" s="12">
        <f t="shared" si="129"/>
        <v>222</v>
      </c>
      <c r="EI114" s="12">
        <f t="shared" si="130"/>
        <v>212</v>
      </c>
      <c r="EJ114" s="12">
        <f t="shared" si="131"/>
        <v>202</v>
      </c>
      <c r="EK114" s="12">
        <f t="shared" si="132"/>
        <v>396</v>
      </c>
      <c r="EL114" s="12">
        <f t="shared" si="133"/>
        <v>222</v>
      </c>
      <c r="EM114" s="12">
        <f t="shared" si="134"/>
        <v>212</v>
      </c>
      <c r="EN114" s="12">
        <f t="shared" si="135"/>
        <v>294</v>
      </c>
      <c r="EO114" s="12">
        <f t="shared" si="136"/>
        <v>202</v>
      </c>
      <c r="EP114" s="12">
        <f t="shared" si="137"/>
        <v>192</v>
      </c>
      <c r="EQ114" s="12">
        <f t="shared" si="138"/>
        <v>182</v>
      </c>
      <c r="ER114" s="12">
        <f t="shared" si="139"/>
        <v>284</v>
      </c>
      <c r="ES114" s="12">
        <f t="shared" si="140"/>
        <v>264</v>
      </c>
      <c r="ET114" s="12">
        <f t="shared" si="141"/>
        <v>172</v>
      </c>
      <c r="EU114" s="12">
        <f t="shared" si="142"/>
        <v>254</v>
      </c>
      <c r="EV114" s="12">
        <f t="shared" si="143"/>
        <v>172</v>
      </c>
      <c r="EW114" s="12">
        <f t="shared" si="144"/>
        <v>152</v>
      </c>
      <c r="EX114" s="12">
        <f t="shared" si="145"/>
        <v>142</v>
      </c>
      <c r="EY114" s="12">
        <f t="shared" si="146"/>
        <v>122</v>
      </c>
      <c r="EZ114" s="12">
        <v>114</v>
      </c>
    </row>
    <row r="115" spans="1:156" ht="13.35" customHeight="1" x14ac:dyDescent="0.2">
      <c r="A115" s="21">
        <f t="shared" si="147"/>
        <v>114</v>
      </c>
      <c r="B115" s="22">
        <f t="shared" si="149"/>
        <v>38</v>
      </c>
      <c r="C115" s="21">
        <f t="shared" si="121"/>
        <v>666</v>
      </c>
      <c r="E115" s="12" t="s">
        <v>1368</v>
      </c>
      <c r="U115" s="12">
        <v>20</v>
      </c>
      <c r="DQ115" s="35">
        <v>112</v>
      </c>
      <c r="DR115" s="32">
        <v>76</v>
      </c>
      <c r="DS115" s="73">
        <v>101</v>
      </c>
      <c r="DT115" s="71">
        <v>25</v>
      </c>
      <c r="DU115" s="21">
        <v>177</v>
      </c>
      <c r="DV115" s="31">
        <f t="shared" si="117"/>
        <v>212</v>
      </c>
      <c r="DW115" s="30">
        <f t="shared" si="148"/>
        <v>396</v>
      </c>
      <c r="DX115" s="36">
        <v>25</v>
      </c>
      <c r="DY115" s="23">
        <v>146</v>
      </c>
      <c r="DZ115" s="12">
        <v>113</v>
      </c>
      <c r="EA115" s="12">
        <f t="shared" si="122"/>
        <v>469</v>
      </c>
      <c r="EB115" s="12">
        <f t="shared" si="123"/>
        <v>522</v>
      </c>
      <c r="EC115" s="12">
        <f t="shared" si="124"/>
        <v>512</v>
      </c>
      <c r="ED115" s="12">
        <f t="shared" si="125"/>
        <v>409</v>
      </c>
      <c r="EE115" s="12">
        <f t="shared" si="126"/>
        <v>316</v>
      </c>
      <c r="EF115" s="12">
        <f t="shared" si="127"/>
        <v>233</v>
      </c>
      <c r="EG115" s="12">
        <f t="shared" si="128"/>
        <v>223</v>
      </c>
      <c r="EH115" s="12">
        <f t="shared" si="129"/>
        <v>223</v>
      </c>
      <c r="EI115" s="12">
        <f t="shared" si="130"/>
        <v>213</v>
      </c>
      <c r="EJ115" s="12">
        <f t="shared" si="131"/>
        <v>203</v>
      </c>
      <c r="EK115" s="12">
        <f t="shared" si="132"/>
        <v>399</v>
      </c>
      <c r="EL115" s="12">
        <f t="shared" si="133"/>
        <v>223</v>
      </c>
      <c r="EM115" s="12">
        <f t="shared" si="134"/>
        <v>213</v>
      </c>
      <c r="EN115" s="12">
        <f t="shared" si="135"/>
        <v>296</v>
      </c>
      <c r="EO115" s="12">
        <f t="shared" si="136"/>
        <v>203</v>
      </c>
      <c r="EP115" s="12">
        <f t="shared" si="137"/>
        <v>193</v>
      </c>
      <c r="EQ115" s="12">
        <f t="shared" si="138"/>
        <v>183</v>
      </c>
      <c r="ER115" s="12">
        <f t="shared" si="139"/>
        <v>286</v>
      </c>
      <c r="ES115" s="12">
        <f t="shared" si="140"/>
        <v>266</v>
      </c>
      <c r="ET115" s="12">
        <f t="shared" si="141"/>
        <v>173</v>
      </c>
      <c r="EU115" s="12">
        <f t="shared" si="142"/>
        <v>256</v>
      </c>
      <c r="EV115" s="12">
        <f t="shared" si="143"/>
        <v>173</v>
      </c>
      <c r="EW115" s="12">
        <f t="shared" si="144"/>
        <v>153</v>
      </c>
      <c r="EX115" s="12">
        <f t="shared" si="145"/>
        <v>143</v>
      </c>
      <c r="EY115" s="12">
        <f t="shared" si="146"/>
        <v>123</v>
      </c>
      <c r="EZ115" s="12">
        <v>115</v>
      </c>
    </row>
    <row r="116" spans="1:156" ht="13.35" customHeight="1" x14ac:dyDescent="0.2">
      <c r="A116" s="21">
        <f t="shared" si="147"/>
        <v>115</v>
      </c>
      <c r="B116" s="22">
        <f t="shared" si="149"/>
        <v>40</v>
      </c>
      <c r="C116" s="21">
        <f t="shared" si="121"/>
        <v>715</v>
      </c>
      <c r="DQ116" s="35">
        <v>113</v>
      </c>
      <c r="DR116" s="32">
        <v>77</v>
      </c>
      <c r="DS116" s="73">
        <v>101.5</v>
      </c>
      <c r="DT116" s="71">
        <v>25</v>
      </c>
      <c r="DU116" s="21">
        <v>178</v>
      </c>
      <c r="DV116" s="31">
        <f t="shared" si="117"/>
        <v>213</v>
      </c>
      <c r="DW116" s="30">
        <f t="shared" si="148"/>
        <v>399</v>
      </c>
      <c r="DX116" s="36">
        <v>25</v>
      </c>
      <c r="DY116" s="23">
        <v>146.5</v>
      </c>
      <c r="DZ116" s="12">
        <v>114</v>
      </c>
      <c r="EA116" s="12">
        <f t="shared" si="122"/>
        <v>472</v>
      </c>
      <c r="EB116" s="12">
        <f t="shared" si="123"/>
        <v>526</v>
      </c>
      <c r="EC116" s="12">
        <f t="shared" si="124"/>
        <v>516</v>
      </c>
      <c r="ED116" s="12">
        <f t="shared" si="125"/>
        <v>412</v>
      </c>
      <c r="EE116" s="12">
        <f t="shared" si="126"/>
        <v>318</v>
      </c>
      <c r="EF116" s="12">
        <f t="shared" si="127"/>
        <v>234</v>
      </c>
      <c r="EG116" s="12">
        <f t="shared" si="128"/>
        <v>224</v>
      </c>
      <c r="EH116" s="12">
        <f t="shared" si="129"/>
        <v>224</v>
      </c>
      <c r="EI116" s="12">
        <f t="shared" si="130"/>
        <v>214</v>
      </c>
      <c r="EJ116" s="12">
        <f t="shared" si="131"/>
        <v>204</v>
      </c>
      <c r="EK116" s="12">
        <f t="shared" si="132"/>
        <v>402</v>
      </c>
      <c r="EL116" s="12">
        <f t="shared" si="133"/>
        <v>224</v>
      </c>
      <c r="EM116" s="12">
        <f t="shared" si="134"/>
        <v>214</v>
      </c>
      <c r="EN116" s="12">
        <f t="shared" si="135"/>
        <v>298</v>
      </c>
      <c r="EO116" s="12">
        <f t="shared" si="136"/>
        <v>204</v>
      </c>
      <c r="EP116" s="12">
        <f t="shared" si="137"/>
        <v>194</v>
      </c>
      <c r="EQ116" s="12">
        <f t="shared" si="138"/>
        <v>184</v>
      </c>
      <c r="ER116" s="12">
        <f t="shared" si="139"/>
        <v>288</v>
      </c>
      <c r="ES116" s="12">
        <f t="shared" si="140"/>
        <v>268</v>
      </c>
      <c r="ET116" s="12">
        <f t="shared" si="141"/>
        <v>174</v>
      </c>
      <c r="EU116" s="12">
        <f t="shared" si="142"/>
        <v>258</v>
      </c>
      <c r="EV116" s="12">
        <f t="shared" si="143"/>
        <v>174</v>
      </c>
      <c r="EW116" s="12">
        <f t="shared" si="144"/>
        <v>154</v>
      </c>
      <c r="EX116" s="12">
        <f t="shared" si="145"/>
        <v>144</v>
      </c>
      <c r="EY116" s="12">
        <f t="shared" si="146"/>
        <v>124</v>
      </c>
      <c r="EZ116" s="12">
        <v>116</v>
      </c>
    </row>
    <row r="117" spans="1:156" ht="13.35" customHeight="1" x14ac:dyDescent="0.2">
      <c r="A117" s="21">
        <f t="shared" si="147"/>
        <v>116</v>
      </c>
      <c r="B117" s="22">
        <f t="shared" si="149"/>
        <v>42</v>
      </c>
      <c r="C117" s="21">
        <f t="shared" si="121"/>
        <v>766</v>
      </c>
      <c r="E117" s="44"/>
      <c r="F117" s="12" t="s">
        <v>763</v>
      </c>
      <c r="G117" s="12" t="s">
        <v>764</v>
      </c>
      <c r="H117" s="12" t="s">
        <v>765</v>
      </c>
      <c r="I117" s="12" t="s">
        <v>766</v>
      </c>
      <c r="J117" s="12" t="s">
        <v>767</v>
      </c>
      <c r="K117" s="12" t="s">
        <v>768</v>
      </c>
      <c r="L117" s="12" t="s">
        <v>769</v>
      </c>
      <c r="M117" s="12" t="s">
        <v>770</v>
      </c>
      <c r="N117" s="12" t="s">
        <v>771</v>
      </c>
      <c r="O117" s="12" t="s">
        <v>772</v>
      </c>
      <c r="P117" s="12" t="s">
        <v>773</v>
      </c>
      <c r="Q117" s="12" t="s">
        <v>774</v>
      </c>
      <c r="R117" s="12" t="s">
        <v>775</v>
      </c>
      <c r="S117" s="12" t="s">
        <v>181</v>
      </c>
      <c r="T117" s="12" t="s">
        <v>776</v>
      </c>
      <c r="U117" s="12" t="s">
        <v>777</v>
      </c>
      <c r="V117" s="12" t="s">
        <v>778</v>
      </c>
      <c r="W117" s="12" t="s">
        <v>779</v>
      </c>
      <c r="X117" s="12" t="s">
        <v>780</v>
      </c>
      <c r="Y117" s="12" t="s">
        <v>781</v>
      </c>
      <c r="AA117" s="12" t="str">
        <f>AA59</f>
        <v>Arcanist (AC)</v>
      </c>
      <c r="AB117" s="12" t="str">
        <f>AB59</f>
        <v>Wizard (AC)</v>
      </c>
      <c r="AC117" s="12" t="str">
        <f>AC59</f>
        <v>Chaotic (AC)</v>
      </c>
      <c r="AD117" s="12" t="str">
        <f>AD59</f>
        <v>Magehunter (AC)</v>
      </c>
      <c r="AF117" s="12" t="s">
        <v>786</v>
      </c>
      <c r="AG117" s="12" t="s">
        <v>787</v>
      </c>
      <c r="AH117" s="12" t="s">
        <v>788</v>
      </c>
      <c r="AJ117" s="12" t="s">
        <v>789</v>
      </c>
      <c r="AK117" s="12" t="s">
        <v>790</v>
      </c>
      <c r="AL117" s="12" t="s">
        <v>791</v>
      </c>
      <c r="AM117" s="12" t="s">
        <v>792</v>
      </c>
      <c r="AO117" s="12" t="s">
        <v>793</v>
      </c>
      <c r="AP117" s="12" t="s">
        <v>794</v>
      </c>
      <c r="AQ117" s="12" t="s">
        <v>795</v>
      </c>
      <c r="AS117" s="12" t="s">
        <v>796</v>
      </c>
      <c r="AT117" s="12" t="s">
        <v>797</v>
      </c>
      <c r="AU117" s="12" t="s">
        <v>798</v>
      </c>
      <c r="AV117" s="12" t="s">
        <v>799</v>
      </c>
      <c r="AW117" s="12" t="s">
        <v>800</v>
      </c>
      <c r="AX117" s="12" t="s">
        <v>801</v>
      </c>
      <c r="AY117" s="12" t="s">
        <v>802</v>
      </c>
      <c r="AZ117" s="12" t="s">
        <v>803</v>
      </c>
      <c r="BA117" s="12" t="str">
        <f t="shared" ref="BA117:CQ117" si="150">BA2</f>
        <v>Priest of Culture</v>
      </c>
      <c r="BB117" s="12" t="str">
        <f t="shared" si="150"/>
        <v>Priest of Darkness, Night</v>
      </c>
      <c r="BC117" s="12" t="str">
        <f t="shared" si="150"/>
        <v>Priest of Dawn</v>
      </c>
      <c r="BD117" s="12" t="str">
        <f t="shared" si="150"/>
        <v>Priest of Death</v>
      </c>
      <c r="BE117" s="12" t="str">
        <f t="shared" si="150"/>
        <v>Priest of Disease</v>
      </c>
      <c r="BF117" s="12" t="str">
        <f t="shared" si="150"/>
        <v>Priest of Earth</v>
      </c>
      <c r="BG117" s="12" t="str">
        <f t="shared" si="150"/>
        <v>Priest of Fate, Destiny</v>
      </c>
      <c r="BH117" s="12" t="str">
        <f t="shared" si="150"/>
        <v>Priest of Fertility</v>
      </c>
      <c r="BI117" s="12" t="str">
        <f t="shared" si="150"/>
        <v>Priest of Fire</v>
      </c>
      <c r="BJ117" s="12" t="str">
        <f t="shared" si="150"/>
        <v>Priest of Fortune, Luck</v>
      </c>
      <c r="BK117" s="12" t="str">
        <f t="shared" si="150"/>
        <v>Priest of Guardianship</v>
      </c>
      <c r="BL117" s="12" t="str">
        <f t="shared" si="150"/>
        <v>Priest of Healing</v>
      </c>
      <c r="BM117" s="12" t="str">
        <f t="shared" si="150"/>
        <v>Priest of Hunting</v>
      </c>
      <c r="BN117" s="12" t="str">
        <f t="shared" si="150"/>
        <v>Priest of Justice, Revenge</v>
      </c>
      <c r="BO117" s="12" t="str">
        <f t="shared" si="150"/>
        <v>Priest of Light</v>
      </c>
      <c r="BP117" s="12" t="str">
        <f t="shared" si="150"/>
        <v>Priest of Lightning</v>
      </c>
      <c r="BQ117" s="12" t="str">
        <f t="shared" si="150"/>
        <v>Priest of Literature</v>
      </c>
      <c r="BR117" s="12" t="str">
        <f t="shared" si="150"/>
        <v>Priest of Love</v>
      </c>
      <c r="BS117" s="12" t="str">
        <f t="shared" si="150"/>
        <v>Priest of Magic</v>
      </c>
      <c r="BT117" s="12" t="str">
        <f t="shared" si="150"/>
        <v>Priest of Marriage</v>
      </c>
      <c r="BU117" s="12" t="str">
        <f t="shared" si="150"/>
        <v>Priest of Messengers</v>
      </c>
      <c r="BV117" s="12" t="str">
        <f t="shared" si="150"/>
        <v>Priest of Metalwork</v>
      </c>
      <c r="BW117" s="12" t="str">
        <f t="shared" si="150"/>
        <v>Priest of Mischief/Trickery</v>
      </c>
      <c r="BX117" s="12" t="str">
        <f t="shared" si="150"/>
        <v>Priest of Moon</v>
      </c>
      <c r="BY117" s="12" t="str">
        <f t="shared" si="150"/>
        <v>Priest of Music, Dance</v>
      </c>
      <c r="BZ117" s="12" t="str">
        <f t="shared" si="150"/>
        <v>Priest of Nature</v>
      </c>
      <c r="CA117" s="12" t="str">
        <f t="shared" si="150"/>
        <v>Priest of Ocean, Rivers</v>
      </c>
      <c r="CB117" s="12" t="str">
        <f t="shared" si="150"/>
        <v>Priest of Oracles</v>
      </c>
      <c r="CC117" s="12" t="str">
        <f t="shared" si="150"/>
        <v>Priest of Peace</v>
      </c>
      <c r="CD117" s="12" t="str">
        <f t="shared" si="150"/>
        <v>Priest of Prosperity</v>
      </c>
      <c r="CE117" s="12" t="str">
        <f t="shared" si="150"/>
        <v>Priest of Redemption</v>
      </c>
      <c r="CF117" s="12" t="str">
        <f t="shared" si="150"/>
        <v>Priest of Rulership</v>
      </c>
      <c r="CG117" s="12" t="str">
        <f t="shared" si="150"/>
        <v>Priest of Seasons</v>
      </c>
      <c r="CH117" s="12" t="str">
        <f t="shared" si="150"/>
        <v>Priest of Sky, Weather</v>
      </c>
      <c r="CI117" s="12" t="str">
        <f t="shared" si="150"/>
        <v>Priest of Strength</v>
      </c>
      <c r="CJ117" s="12" t="str">
        <f t="shared" si="150"/>
        <v>Priest of Sun</v>
      </c>
      <c r="CK117" s="12" t="str">
        <f t="shared" si="150"/>
        <v>Priest of Thunder</v>
      </c>
      <c r="CL117" s="12" t="str">
        <f t="shared" si="150"/>
        <v>Priest of Time</v>
      </c>
      <c r="CM117" s="12" t="str">
        <f t="shared" si="150"/>
        <v>Priest of Trade</v>
      </c>
      <c r="CN117" s="12" t="str">
        <f t="shared" si="150"/>
        <v>Priest of Vegetation</v>
      </c>
      <c r="CO117" s="12" t="str">
        <f t="shared" si="150"/>
        <v>Priest of War</v>
      </c>
      <c r="CP117" s="12" t="str">
        <f t="shared" si="150"/>
        <v>Priest of Wind</v>
      </c>
      <c r="CQ117" s="12" t="str">
        <f t="shared" si="150"/>
        <v>Priest of Wisdom</v>
      </c>
      <c r="CS117" s="12" t="str">
        <f>CS59</f>
        <v>Barbarian (FRP)</v>
      </c>
      <c r="CT117" s="12" t="str">
        <f>CT59</f>
        <v>Outrider (FRP)</v>
      </c>
      <c r="CU117" s="12" t="str">
        <f>CU59</f>
        <v>Sage (FRP)</v>
      </c>
      <c r="CV117" s="12" t="str">
        <f>CV59</f>
        <v>Swashbuckler (FRP)</v>
      </c>
      <c r="CX117" s="12" t="s">
        <v>851</v>
      </c>
      <c r="CY117" s="12" t="s">
        <v>852</v>
      </c>
      <c r="CZ117" s="12" t="s">
        <v>853</v>
      </c>
      <c r="DA117" s="12" t="s">
        <v>1129</v>
      </c>
      <c r="DB117" s="12" t="s">
        <v>855</v>
      </c>
      <c r="DC117" s="12" t="s">
        <v>856</v>
      </c>
      <c r="DD117" s="12" t="s">
        <v>857</v>
      </c>
      <c r="DE117" s="12" t="str">
        <f>DE59</f>
        <v>NEW PROF</v>
      </c>
      <c r="DQ117" s="35">
        <v>114</v>
      </c>
      <c r="DR117" s="32">
        <v>77</v>
      </c>
      <c r="DS117" s="73">
        <v>102</v>
      </c>
      <c r="DT117" s="71">
        <v>25</v>
      </c>
      <c r="DU117" s="21">
        <v>179</v>
      </c>
      <c r="DV117" s="31">
        <f t="shared" si="117"/>
        <v>214</v>
      </c>
      <c r="DW117" s="30">
        <f t="shared" si="148"/>
        <v>402</v>
      </c>
      <c r="DX117" s="36">
        <v>25</v>
      </c>
      <c r="DY117" s="23">
        <v>147</v>
      </c>
      <c r="DZ117" s="12">
        <v>115</v>
      </c>
      <c r="EA117" s="12">
        <f t="shared" si="122"/>
        <v>475</v>
      </c>
      <c r="EB117" s="12">
        <f t="shared" si="123"/>
        <v>530</v>
      </c>
      <c r="EC117" s="12">
        <f t="shared" si="124"/>
        <v>520</v>
      </c>
      <c r="ED117" s="12">
        <f t="shared" si="125"/>
        <v>415</v>
      </c>
      <c r="EE117" s="12">
        <f t="shared" si="126"/>
        <v>320</v>
      </c>
      <c r="EF117" s="12">
        <f t="shared" si="127"/>
        <v>235</v>
      </c>
      <c r="EG117" s="12">
        <f t="shared" si="128"/>
        <v>225</v>
      </c>
      <c r="EH117" s="12">
        <f t="shared" si="129"/>
        <v>225</v>
      </c>
      <c r="EI117" s="12">
        <f t="shared" si="130"/>
        <v>215</v>
      </c>
      <c r="EJ117" s="12">
        <f t="shared" si="131"/>
        <v>205</v>
      </c>
      <c r="EK117" s="12">
        <f t="shared" si="132"/>
        <v>405</v>
      </c>
      <c r="EL117" s="12">
        <f t="shared" si="133"/>
        <v>225</v>
      </c>
      <c r="EM117" s="12">
        <f t="shared" si="134"/>
        <v>215</v>
      </c>
      <c r="EN117" s="12">
        <f t="shared" si="135"/>
        <v>300</v>
      </c>
      <c r="EO117" s="12">
        <f t="shared" si="136"/>
        <v>205</v>
      </c>
      <c r="EP117" s="12">
        <f t="shared" si="137"/>
        <v>195</v>
      </c>
      <c r="EQ117" s="12">
        <f t="shared" si="138"/>
        <v>185</v>
      </c>
      <c r="ER117" s="12">
        <f t="shared" si="139"/>
        <v>290</v>
      </c>
      <c r="ES117" s="12">
        <f t="shared" si="140"/>
        <v>270</v>
      </c>
      <c r="ET117" s="12">
        <f t="shared" si="141"/>
        <v>175</v>
      </c>
      <c r="EU117" s="12">
        <f t="shared" si="142"/>
        <v>260</v>
      </c>
      <c r="EV117" s="12">
        <f t="shared" si="143"/>
        <v>175</v>
      </c>
      <c r="EW117" s="12">
        <f t="shared" si="144"/>
        <v>155</v>
      </c>
      <c r="EX117" s="12">
        <f t="shared" si="145"/>
        <v>145</v>
      </c>
      <c r="EY117" s="12">
        <f t="shared" si="146"/>
        <v>125</v>
      </c>
      <c r="EZ117" s="12">
        <v>117</v>
      </c>
    </row>
    <row r="118" spans="1:156" ht="13.35" customHeight="1" x14ac:dyDescent="0.2">
      <c r="A118" s="21">
        <f t="shared" si="147"/>
        <v>117</v>
      </c>
      <c r="B118" s="22">
        <f t="shared" si="149"/>
        <v>44</v>
      </c>
      <c r="C118" s="21">
        <f t="shared" si="121"/>
        <v>819</v>
      </c>
      <c r="E118" s="44" t="s">
        <v>1369</v>
      </c>
      <c r="F118" s="12" t="s">
        <v>1370</v>
      </c>
      <c r="G118" s="12" t="s">
        <v>1370</v>
      </c>
      <c r="H118" s="12" t="s">
        <v>1370</v>
      </c>
      <c r="I118" s="12" t="s">
        <v>1370</v>
      </c>
      <c r="J118" s="12" t="s">
        <v>1370</v>
      </c>
      <c r="K118" s="12" t="s">
        <v>240</v>
      </c>
      <c r="L118" s="12" t="s">
        <v>240</v>
      </c>
      <c r="M118" s="12" t="s">
        <v>241</v>
      </c>
      <c r="N118" s="12" t="s">
        <v>241</v>
      </c>
      <c r="O118" s="12" t="s">
        <v>242</v>
      </c>
      <c r="P118" s="12" t="s">
        <v>242</v>
      </c>
      <c r="Q118" s="12" t="s">
        <v>868</v>
      </c>
      <c r="R118" s="12" t="s">
        <v>1371</v>
      </c>
      <c r="S118" s="12" t="s">
        <v>870</v>
      </c>
      <c r="T118" s="12" t="s">
        <v>241</v>
      </c>
      <c r="U118" s="12" t="s">
        <v>241</v>
      </c>
      <c r="V118" s="12" t="s">
        <v>240</v>
      </c>
      <c r="W118" s="12" t="s">
        <v>240</v>
      </c>
      <c r="X118" s="12" t="s">
        <v>242</v>
      </c>
      <c r="Y118" s="12" t="s">
        <v>242</v>
      </c>
      <c r="AA118" s="12" t="s">
        <v>871</v>
      </c>
      <c r="AB118" s="12" t="s">
        <v>871</v>
      </c>
      <c r="AC118" s="12" t="s">
        <v>871</v>
      </c>
      <c r="AD118" s="12" t="s">
        <v>871</v>
      </c>
      <c r="AF118" s="12" t="s">
        <v>870</v>
      </c>
      <c r="AG118" s="12" t="s">
        <v>240</v>
      </c>
      <c r="AH118" s="12" t="s">
        <v>240</v>
      </c>
      <c r="AJ118" s="12" t="s">
        <v>242</v>
      </c>
      <c r="AK118" s="12" t="s">
        <v>1371</v>
      </c>
      <c r="AL118" s="12" t="s">
        <v>242</v>
      </c>
      <c r="AM118" s="12" t="s">
        <v>868</v>
      </c>
      <c r="AO118" s="12" t="s">
        <v>870</v>
      </c>
      <c r="AP118" s="12" t="s">
        <v>868</v>
      </c>
      <c r="AQ118" s="12" t="s">
        <v>241</v>
      </c>
      <c r="AS118" s="12" t="s">
        <v>241</v>
      </c>
      <c r="AT118" s="12" t="s">
        <v>241</v>
      </c>
      <c r="AU118" s="12" t="s">
        <v>241</v>
      </c>
      <c r="AV118" s="12" t="s">
        <v>241</v>
      </c>
      <c r="AW118" s="12" t="s">
        <v>241</v>
      </c>
      <c r="AX118" s="12" t="s">
        <v>241</v>
      </c>
      <c r="AY118" s="12" t="s">
        <v>241</v>
      </c>
      <c r="AZ118" s="12" t="s">
        <v>241</v>
      </c>
      <c r="BA118" s="12" t="s">
        <v>241</v>
      </c>
      <c r="BB118" s="12" t="s">
        <v>241</v>
      </c>
      <c r="BC118" s="12" t="s">
        <v>241</v>
      </c>
      <c r="BD118" s="12" t="s">
        <v>241</v>
      </c>
      <c r="BE118" s="12" t="s">
        <v>241</v>
      </c>
      <c r="BF118" s="12" t="s">
        <v>241</v>
      </c>
      <c r="BG118" s="12" t="s">
        <v>241</v>
      </c>
      <c r="BH118" s="12" t="s">
        <v>241</v>
      </c>
      <c r="BI118" s="12" t="s">
        <v>241</v>
      </c>
      <c r="BJ118" s="12" t="s">
        <v>241</v>
      </c>
      <c r="BK118" s="12" t="s">
        <v>241</v>
      </c>
      <c r="BL118" s="12" t="s">
        <v>241</v>
      </c>
      <c r="BM118" s="12" t="s">
        <v>241</v>
      </c>
      <c r="BN118" s="12" t="s">
        <v>241</v>
      </c>
      <c r="BO118" s="12" t="s">
        <v>241</v>
      </c>
      <c r="BP118" s="12" t="s">
        <v>241</v>
      </c>
      <c r="BQ118" s="12" t="s">
        <v>241</v>
      </c>
      <c r="BR118" s="12" t="s">
        <v>241</v>
      </c>
      <c r="BS118" s="12" t="s">
        <v>241</v>
      </c>
      <c r="BT118" s="12" t="s">
        <v>241</v>
      </c>
      <c r="BU118" s="12" t="s">
        <v>241</v>
      </c>
      <c r="BV118" s="12" t="s">
        <v>241</v>
      </c>
      <c r="BW118" s="12" t="s">
        <v>241</v>
      </c>
      <c r="BX118" s="12" t="s">
        <v>241</v>
      </c>
      <c r="BY118" s="12" t="s">
        <v>241</v>
      </c>
      <c r="BZ118" s="12" t="s">
        <v>241</v>
      </c>
      <c r="CA118" s="12" t="s">
        <v>241</v>
      </c>
      <c r="CB118" s="12" t="s">
        <v>241</v>
      </c>
      <c r="CC118" s="12" t="s">
        <v>241</v>
      </c>
      <c r="CD118" s="12" t="s">
        <v>241</v>
      </c>
      <c r="CE118" s="12" t="s">
        <v>241</v>
      </c>
      <c r="CF118" s="12" t="s">
        <v>241</v>
      </c>
      <c r="CG118" s="12" t="s">
        <v>241</v>
      </c>
      <c r="CH118" s="12" t="s">
        <v>241</v>
      </c>
      <c r="CI118" s="12" t="s">
        <v>241</v>
      </c>
      <c r="CJ118" s="12" t="s">
        <v>241</v>
      </c>
      <c r="CK118" s="12" t="s">
        <v>241</v>
      </c>
      <c r="CL118" s="12" t="s">
        <v>241</v>
      </c>
      <c r="CM118" s="12" t="s">
        <v>241</v>
      </c>
      <c r="CN118" s="12" t="s">
        <v>241</v>
      </c>
      <c r="CO118" s="12" t="s">
        <v>241</v>
      </c>
      <c r="CP118" s="12" t="s">
        <v>241</v>
      </c>
      <c r="CQ118" s="12" t="s">
        <v>241</v>
      </c>
      <c r="CS118" s="12" t="s">
        <v>1370</v>
      </c>
      <c r="CT118" s="12" t="s">
        <v>1370</v>
      </c>
      <c r="CU118" s="12" t="s">
        <v>1370</v>
      </c>
      <c r="CV118" s="12" t="s">
        <v>1370</v>
      </c>
      <c r="CX118" s="12" t="s">
        <v>241</v>
      </c>
      <c r="CY118" s="12" t="s">
        <v>868</v>
      </c>
      <c r="CZ118" s="12" t="s">
        <v>868</v>
      </c>
      <c r="DA118" s="12" t="s">
        <v>1370</v>
      </c>
      <c r="DB118" s="12" t="s">
        <v>240</v>
      </c>
      <c r="DC118" s="12" t="s">
        <v>241</v>
      </c>
      <c r="DD118" s="12" t="s">
        <v>242</v>
      </c>
      <c r="DQ118" s="35">
        <v>115</v>
      </c>
      <c r="DR118" s="32">
        <v>78</v>
      </c>
      <c r="DS118" s="73">
        <v>102.5</v>
      </c>
      <c r="DT118" s="71">
        <v>25</v>
      </c>
      <c r="DU118" s="21">
        <v>180</v>
      </c>
      <c r="DV118" s="31">
        <f t="shared" si="117"/>
        <v>215</v>
      </c>
      <c r="DW118" s="30">
        <f t="shared" si="148"/>
        <v>405</v>
      </c>
      <c r="DX118" s="36">
        <v>25</v>
      </c>
      <c r="DY118" s="23">
        <v>147.5</v>
      </c>
      <c r="DZ118" s="12">
        <v>116</v>
      </c>
      <c r="EA118" s="12">
        <f t="shared" si="122"/>
        <v>478</v>
      </c>
      <c r="EB118" s="12">
        <f t="shared" si="123"/>
        <v>534</v>
      </c>
      <c r="EC118" s="12">
        <f t="shared" si="124"/>
        <v>524</v>
      </c>
      <c r="ED118" s="12">
        <f t="shared" si="125"/>
        <v>418</v>
      </c>
      <c r="EE118" s="12">
        <f t="shared" si="126"/>
        <v>322</v>
      </c>
      <c r="EF118" s="12">
        <f t="shared" si="127"/>
        <v>236</v>
      </c>
      <c r="EG118" s="12">
        <f t="shared" si="128"/>
        <v>226</v>
      </c>
      <c r="EH118" s="12">
        <f t="shared" si="129"/>
        <v>226</v>
      </c>
      <c r="EI118" s="12">
        <f t="shared" si="130"/>
        <v>216</v>
      </c>
      <c r="EJ118" s="12">
        <f t="shared" si="131"/>
        <v>206</v>
      </c>
      <c r="EK118" s="12">
        <f t="shared" si="132"/>
        <v>408</v>
      </c>
      <c r="EL118" s="12">
        <f t="shared" si="133"/>
        <v>226</v>
      </c>
      <c r="EM118" s="12">
        <f t="shared" si="134"/>
        <v>216</v>
      </c>
      <c r="EN118" s="12">
        <f t="shared" si="135"/>
        <v>302</v>
      </c>
      <c r="EO118" s="12">
        <f t="shared" si="136"/>
        <v>206</v>
      </c>
      <c r="EP118" s="12">
        <f t="shared" si="137"/>
        <v>196</v>
      </c>
      <c r="EQ118" s="12">
        <f t="shared" si="138"/>
        <v>186</v>
      </c>
      <c r="ER118" s="12">
        <f t="shared" si="139"/>
        <v>292</v>
      </c>
      <c r="ES118" s="12">
        <f t="shared" si="140"/>
        <v>272</v>
      </c>
      <c r="ET118" s="12">
        <f t="shared" si="141"/>
        <v>176</v>
      </c>
      <c r="EU118" s="12">
        <f t="shared" si="142"/>
        <v>262</v>
      </c>
      <c r="EV118" s="12">
        <f t="shared" si="143"/>
        <v>176</v>
      </c>
      <c r="EW118" s="12">
        <f t="shared" si="144"/>
        <v>156</v>
      </c>
      <c r="EX118" s="12">
        <f t="shared" si="145"/>
        <v>146</v>
      </c>
      <c r="EY118" s="12">
        <f t="shared" si="146"/>
        <v>126</v>
      </c>
      <c r="EZ118" s="12">
        <v>118</v>
      </c>
    </row>
    <row r="119" spans="1:156" ht="13.35" customHeight="1" x14ac:dyDescent="0.2">
      <c r="A119" s="21">
        <f t="shared" si="147"/>
        <v>118</v>
      </c>
      <c r="B119" s="22">
        <f t="shared" si="149"/>
        <v>46</v>
      </c>
      <c r="C119" s="21">
        <f t="shared" si="121"/>
        <v>874</v>
      </c>
      <c r="E119" s="44" t="s">
        <v>1372</v>
      </c>
      <c r="F119" s="12" t="s">
        <v>1373</v>
      </c>
      <c r="G119" s="12" t="s">
        <v>1374</v>
      </c>
      <c r="H119" s="12" t="s">
        <v>1375</v>
      </c>
      <c r="I119" s="12" t="s">
        <v>1376</v>
      </c>
      <c r="J119" s="12" t="s">
        <v>1377</v>
      </c>
      <c r="K119" s="12" t="s">
        <v>1378</v>
      </c>
      <c r="L119" s="12" t="s">
        <v>1378</v>
      </c>
      <c r="M119" s="12" t="s">
        <v>1379</v>
      </c>
      <c r="N119" s="12" t="s">
        <v>1379</v>
      </c>
      <c r="O119" s="12" t="s">
        <v>1380</v>
      </c>
      <c r="P119" s="12" t="s">
        <v>1380</v>
      </c>
      <c r="Q119" s="12" t="s">
        <v>1381</v>
      </c>
      <c r="R119" s="12" t="s">
        <v>1382</v>
      </c>
      <c r="S119" s="12" t="s">
        <v>1383</v>
      </c>
      <c r="T119" s="12" t="s">
        <v>1384</v>
      </c>
      <c r="U119" s="12" t="s">
        <v>1385</v>
      </c>
      <c r="V119" s="12" t="s">
        <v>1386</v>
      </c>
      <c r="W119" s="12" t="s">
        <v>1387</v>
      </c>
      <c r="X119" s="12" t="s">
        <v>1388</v>
      </c>
      <c r="Y119" s="12" t="s">
        <v>1389</v>
      </c>
      <c r="AA119" s="12" t="s">
        <v>1390</v>
      </c>
      <c r="AB119" s="12" t="s">
        <v>1390</v>
      </c>
      <c r="AC119" s="12" t="s">
        <v>4018</v>
      </c>
      <c r="AD119" s="12" t="s">
        <v>4018</v>
      </c>
      <c r="AF119" s="12" t="s">
        <v>1383</v>
      </c>
      <c r="AG119" s="12" t="s">
        <v>1387</v>
      </c>
      <c r="AH119" s="12" t="s">
        <v>1391</v>
      </c>
      <c r="AJ119" s="12" t="s">
        <v>1392</v>
      </c>
      <c r="AK119" s="12" t="s">
        <v>1393</v>
      </c>
      <c r="AL119" s="12" t="s">
        <v>1394</v>
      </c>
      <c r="AM119" s="12" t="s">
        <v>1381</v>
      </c>
      <c r="AO119" s="12" t="s">
        <v>1383</v>
      </c>
      <c r="AP119" s="12" t="s">
        <v>1381</v>
      </c>
      <c r="AQ119" s="12" t="s">
        <v>1395</v>
      </c>
      <c r="AS119" s="12" t="s">
        <v>1384</v>
      </c>
      <c r="AT119" s="12" t="s">
        <v>1379</v>
      </c>
      <c r="AU119" s="12" t="s">
        <v>1385</v>
      </c>
      <c r="AV119" s="12" t="s">
        <v>1396</v>
      </c>
      <c r="AW119" s="12" t="s">
        <v>1379</v>
      </c>
      <c r="AX119" s="12" t="s">
        <v>1385</v>
      </c>
      <c r="AY119" s="12" t="s">
        <v>1396</v>
      </c>
      <c r="AZ119" s="12" t="s">
        <v>1397</v>
      </c>
      <c r="BA119" s="12" t="s">
        <v>1379</v>
      </c>
      <c r="BB119" s="12" t="s">
        <v>1396</v>
      </c>
      <c r="BC119" s="12" t="s">
        <v>1385</v>
      </c>
      <c r="BD119" s="12" t="s">
        <v>1379</v>
      </c>
      <c r="BE119" s="12" t="s">
        <v>1384</v>
      </c>
      <c r="BF119" s="12" t="s">
        <v>1379</v>
      </c>
      <c r="BG119" s="12" t="s">
        <v>1379</v>
      </c>
      <c r="BH119" s="12" t="s">
        <v>1385</v>
      </c>
      <c r="BI119" s="12" t="s">
        <v>1396</v>
      </c>
      <c r="BJ119" s="12" t="s">
        <v>1385</v>
      </c>
      <c r="BK119" s="12" t="s">
        <v>1384</v>
      </c>
      <c r="BL119" s="12" t="s">
        <v>1396</v>
      </c>
      <c r="BM119" s="12" t="s">
        <v>1397</v>
      </c>
      <c r="BN119" s="12" t="s">
        <v>1384</v>
      </c>
      <c r="BO119" s="12" t="s">
        <v>1396</v>
      </c>
      <c r="BP119" s="12" t="s">
        <v>1384</v>
      </c>
      <c r="BQ119" s="12" t="s">
        <v>1385</v>
      </c>
      <c r="BR119" s="12" t="s">
        <v>1385</v>
      </c>
      <c r="BS119" s="12" t="s">
        <v>1396</v>
      </c>
      <c r="BT119" s="12" t="s">
        <v>1379</v>
      </c>
      <c r="BU119" s="12" t="s">
        <v>1385</v>
      </c>
      <c r="BV119" s="12" t="s">
        <v>1384</v>
      </c>
      <c r="BW119" s="12" t="s">
        <v>1396</v>
      </c>
      <c r="BX119" s="12" t="s">
        <v>1379</v>
      </c>
      <c r="BY119" s="12" t="s">
        <v>1397</v>
      </c>
      <c r="BZ119" s="12" t="s">
        <v>1379</v>
      </c>
      <c r="CA119" s="12" t="s">
        <v>1379</v>
      </c>
      <c r="CB119" s="12" t="s">
        <v>1385</v>
      </c>
      <c r="CC119" s="12" t="s">
        <v>1385</v>
      </c>
      <c r="CD119" s="12" t="s">
        <v>1379</v>
      </c>
      <c r="CE119" s="12" t="s">
        <v>1379</v>
      </c>
      <c r="CF119" s="12" t="s">
        <v>1385</v>
      </c>
      <c r="CG119" s="12" t="s">
        <v>1379</v>
      </c>
      <c r="CH119" s="12" t="s">
        <v>1384</v>
      </c>
      <c r="CI119" s="12" t="s">
        <v>1384</v>
      </c>
      <c r="CJ119" s="12" t="s">
        <v>1396</v>
      </c>
      <c r="CK119" s="12" t="s">
        <v>1384</v>
      </c>
      <c r="CL119" s="12" t="s">
        <v>1379</v>
      </c>
      <c r="CM119" s="12" t="s">
        <v>1385</v>
      </c>
      <c r="CN119" s="12" t="s">
        <v>1379</v>
      </c>
      <c r="CO119" s="12" t="s">
        <v>1384</v>
      </c>
      <c r="CP119" s="12" t="s">
        <v>1397</v>
      </c>
      <c r="CQ119" s="12" t="s">
        <v>1379</v>
      </c>
      <c r="CS119" s="12" t="s">
        <v>1373</v>
      </c>
      <c r="CT119" s="12" t="s">
        <v>1395</v>
      </c>
      <c r="CU119" s="12" t="s">
        <v>1398</v>
      </c>
      <c r="CV119" s="12" t="s">
        <v>1399</v>
      </c>
      <c r="CX119" s="12" t="s">
        <v>1400</v>
      </c>
      <c r="CY119" s="12" t="s">
        <v>1381</v>
      </c>
      <c r="CZ119" s="12" t="s">
        <v>1381</v>
      </c>
      <c r="DA119" s="12" t="s">
        <v>1373</v>
      </c>
      <c r="DB119" s="12" t="s">
        <v>1378</v>
      </c>
      <c r="DC119" s="12" t="s">
        <v>1396</v>
      </c>
      <c r="DD119" s="12" t="s">
        <v>1380</v>
      </c>
      <c r="DQ119" s="35">
        <v>116</v>
      </c>
      <c r="DR119" s="32">
        <v>78</v>
      </c>
      <c r="DS119" s="73">
        <v>103</v>
      </c>
      <c r="DT119" s="71">
        <v>25</v>
      </c>
      <c r="DU119" s="21">
        <v>181</v>
      </c>
      <c r="DV119" s="31">
        <f t="shared" si="117"/>
        <v>216</v>
      </c>
      <c r="DW119" s="30">
        <f t="shared" si="148"/>
        <v>408</v>
      </c>
      <c r="DX119" s="36">
        <v>25</v>
      </c>
      <c r="DY119" s="23">
        <v>148</v>
      </c>
      <c r="DZ119" s="12">
        <v>117</v>
      </c>
      <c r="EA119" s="12">
        <f t="shared" si="122"/>
        <v>481</v>
      </c>
      <c r="EB119" s="12">
        <f t="shared" si="123"/>
        <v>538</v>
      </c>
      <c r="EC119" s="12">
        <f t="shared" si="124"/>
        <v>528</v>
      </c>
      <c r="ED119" s="12">
        <f t="shared" si="125"/>
        <v>421</v>
      </c>
      <c r="EE119" s="12">
        <f t="shared" si="126"/>
        <v>324</v>
      </c>
      <c r="EF119" s="12">
        <f t="shared" si="127"/>
        <v>237</v>
      </c>
      <c r="EG119" s="12">
        <f t="shared" si="128"/>
        <v>227</v>
      </c>
      <c r="EH119" s="12">
        <f t="shared" si="129"/>
        <v>227</v>
      </c>
      <c r="EI119" s="12">
        <f t="shared" si="130"/>
        <v>217</v>
      </c>
      <c r="EJ119" s="12">
        <f t="shared" si="131"/>
        <v>207</v>
      </c>
      <c r="EK119" s="12">
        <f t="shared" si="132"/>
        <v>411</v>
      </c>
      <c r="EL119" s="12">
        <f t="shared" si="133"/>
        <v>227</v>
      </c>
      <c r="EM119" s="12">
        <f t="shared" si="134"/>
        <v>217</v>
      </c>
      <c r="EN119" s="12">
        <f t="shared" si="135"/>
        <v>304</v>
      </c>
      <c r="EO119" s="12">
        <f t="shared" si="136"/>
        <v>207</v>
      </c>
      <c r="EP119" s="12">
        <f t="shared" si="137"/>
        <v>197</v>
      </c>
      <c r="EQ119" s="12">
        <f t="shared" si="138"/>
        <v>187</v>
      </c>
      <c r="ER119" s="12">
        <f t="shared" si="139"/>
        <v>294</v>
      </c>
      <c r="ES119" s="12">
        <f t="shared" si="140"/>
        <v>274</v>
      </c>
      <c r="ET119" s="12">
        <f t="shared" si="141"/>
        <v>177</v>
      </c>
      <c r="EU119" s="12">
        <f t="shared" si="142"/>
        <v>264</v>
      </c>
      <c r="EV119" s="12">
        <f t="shared" si="143"/>
        <v>177</v>
      </c>
      <c r="EW119" s="12">
        <f t="shared" si="144"/>
        <v>157</v>
      </c>
      <c r="EX119" s="12">
        <f t="shared" si="145"/>
        <v>147</v>
      </c>
      <c r="EY119" s="12">
        <f t="shared" si="146"/>
        <v>127</v>
      </c>
      <c r="EZ119" s="12">
        <v>119</v>
      </c>
    </row>
    <row r="120" spans="1:156" ht="13.35" customHeight="1" x14ac:dyDescent="0.2">
      <c r="A120" s="21">
        <f t="shared" si="147"/>
        <v>119</v>
      </c>
      <c r="B120" s="22">
        <f t="shared" si="149"/>
        <v>48</v>
      </c>
      <c r="C120" s="21">
        <f t="shared" si="121"/>
        <v>931</v>
      </c>
      <c r="E120" s="44" t="s">
        <v>1370</v>
      </c>
      <c r="F120" s="12" t="s">
        <v>1401</v>
      </c>
      <c r="DQ120" s="35">
        <v>117</v>
      </c>
      <c r="DR120" s="32">
        <v>79</v>
      </c>
      <c r="DS120" s="73">
        <v>103.5</v>
      </c>
      <c r="DT120" s="71">
        <v>25</v>
      </c>
      <c r="DU120" s="21">
        <v>182</v>
      </c>
      <c r="DV120" s="31">
        <f t="shared" si="117"/>
        <v>217</v>
      </c>
      <c r="DW120" s="30">
        <f t="shared" si="148"/>
        <v>411</v>
      </c>
      <c r="DX120" s="36">
        <v>25</v>
      </c>
      <c r="DY120" s="23">
        <v>148.5</v>
      </c>
      <c r="DZ120" s="12">
        <v>118</v>
      </c>
      <c r="EA120" s="12">
        <f t="shared" si="122"/>
        <v>484</v>
      </c>
      <c r="EB120" s="12">
        <f t="shared" si="123"/>
        <v>542</v>
      </c>
      <c r="EC120" s="12">
        <f t="shared" si="124"/>
        <v>532</v>
      </c>
      <c r="ED120" s="12">
        <f t="shared" si="125"/>
        <v>424</v>
      </c>
      <c r="EE120" s="12">
        <f t="shared" si="126"/>
        <v>326</v>
      </c>
      <c r="EF120" s="12">
        <f t="shared" si="127"/>
        <v>238</v>
      </c>
      <c r="EG120" s="12">
        <f t="shared" si="128"/>
        <v>228</v>
      </c>
      <c r="EH120" s="12">
        <f t="shared" si="129"/>
        <v>228</v>
      </c>
      <c r="EI120" s="12">
        <f t="shared" si="130"/>
        <v>218</v>
      </c>
      <c r="EJ120" s="12">
        <f t="shared" si="131"/>
        <v>208</v>
      </c>
      <c r="EK120" s="12">
        <f t="shared" si="132"/>
        <v>414</v>
      </c>
      <c r="EL120" s="12">
        <f t="shared" si="133"/>
        <v>228</v>
      </c>
      <c r="EM120" s="12">
        <f t="shared" si="134"/>
        <v>218</v>
      </c>
      <c r="EN120" s="12">
        <f t="shared" si="135"/>
        <v>306</v>
      </c>
      <c r="EO120" s="12">
        <f t="shared" si="136"/>
        <v>208</v>
      </c>
      <c r="EP120" s="12">
        <f t="shared" si="137"/>
        <v>198</v>
      </c>
      <c r="EQ120" s="12">
        <f t="shared" si="138"/>
        <v>188</v>
      </c>
      <c r="ER120" s="12">
        <f t="shared" si="139"/>
        <v>296</v>
      </c>
      <c r="ES120" s="12">
        <f t="shared" si="140"/>
        <v>276</v>
      </c>
      <c r="ET120" s="12">
        <f t="shared" si="141"/>
        <v>178</v>
      </c>
      <c r="EU120" s="12">
        <f t="shared" si="142"/>
        <v>266</v>
      </c>
      <c r="EV120" s="12">
        <f t="shared" si="143"/>
        <v>178</v>
      </c>
      <c r="EW120" s="12">
        <f t="shared" si="144"/>
        <v>158</v>
      </c>
      <c r="EX120" s="12">
        <f t="shared" si="145"/>
        <v>148</v>
      </c>
      <c r="EY120" s="12">
        <f t="shared" si="146"/>
        <v>128</v>
      </c>
      <c r="EZ120" s="12">
        <v>120</v>
      </c>
    </row>
    <row r="121" spans="1:156" ht="13.35" customHeight="1" x14ac:dyDescent="0.2">
      <c r="A121" s="21">
        <f t="shared" si="147"/>
        <v>120</v>
      </c>
      <c r="B121" s="22">
        <f t="shared" si="149"/>
        <v>50</v>
      </c>
      <c r="C121" s="21">
        <f t="shared" si="121"/>
        <v>990</v>
      </c>
      <c r="E121" s="44" t="s">
        <v>240</v>
      </c>
      <c r="F121" s="12">
        <f>Stats!I21</f>
        <v>5</v>
      </c>
      <c r="DQ121" s="35">
        <v>118</v>
      </c>
      <c r="DR121" s="32">
        <v>79</v>
      </c>
      <c r="DS121" s="73">
        <v>104</v>
      </c>
      <c r="DT121" s="71">
        <v>25</v>
      </c>
      <c r="DU121" s="21">
        <v>183</v>
      </c>
      <c r="DV121" s="31">
        <f t="shared" si="117"/>
        <v>218</v>
      </c>
      <c r="DW121" s="30">
        <f t="shared" si="148"/>
        <v>414</v>
      </c>
      <c r="DX121" s="36">
        <v>25</v>
      </c>
      <c r="DY121" s="23">
        <v>149</v>
      </c>
      <c r="DZ121" s="12">
        <v>119</v>
      </c>
      <c r="EA121" s="12">
        <f t="shared" si="122"/>
        <v>487</v>
      </c>
      <c r="EB121" s="12">
        <f t="shared" si="123"/>
        <v>546</v>
      </c>
      <c r="EC121" s="12">
        <f t="shared" si="124"/>
        <v>536</v>
      </c>
      <c r="ED121" s="12">
        <f t="shared" si="125"/>
        <v>427</v>
      </c>
      <c r="EE121" s="12">
        <f t="shared" si="126"/>
        <v>328</v>
      </c>
      <c r="EF121" s="12">
        <f t="shared" si="127"/>
        <v>239</v>
      </c>
      <c r="EG121" s="12">
        <f t="shared" si="128"/>
        <v>229</v>
      </c>
      <c r="EH121" s="12">
        <f t="shared" si="129"/>
        <v>229</v>
      </c>
      <c r="EI121" s="12">
        <f t="shared" si="130"/>
        <v>219</v>
      </c>
      <c r="EJ121" s="12">
        <f t="shared" si="131"/>
        <v>209</v>
      </c>
      <c r="EK121" s="12">
        <f t="shared" si="132"/>
        <v>417</v>
      </c>
      <c r="EL121" s="12">
        <f t="shared" si="133"/>
        <v>229</v>
      </c>
      <c r="EM121" s="12">
        <f t="shared" si="134"/>
        <v>219</v>
      </c>
      <c r="EN121" s="12">
        <f t="shared" si="135"/>
        <v>308</v>
      </c>
      <c r="EO121" s="12">
        <f t="shared" si="136"/>
        <v>209</v>
      </c>
      <c r="EP121" s="12">
        <f t="shared" si="137"/>
        <v>199</v>
      </c>
      <c r="EQ121" s="12">
        <f t="shared" si="138"/>
        <v>189</v>
      </c>
      <c r="ER121" s="12">
        <f t="shared" si="139"/>
        <v>298</v>
      </c>
      <c r="ES121" s="12">
        <f t="shared" si="140"/>
        <v>278</v>
      </c>
      <c r="ET121" s="12">
        <f t="shared" si="141"/>
        <v>179</v>
      </c>
      <c r="EU121" s="12">
        <f t="shared" si="142"/>
        <v>268</v>
      </c>
      <c r="EV121" s="12">
        <f t="shared" si="143"/>
        <v>179</v>
      </c>
      <c r="EW121" s="12">
        <f t="shared" si="144"/>
        <v>159</v>
      </c>
      <c r="EX121" s="12">
        <f t="shared" si="145"/>
        <v>149</v>
      </c>
      <c r="EY121" s="12">
        <f t="shared" si="146"/>
        <v>129</v>
      </c>
      <c r="EZ121" s="12">
        <v>121</v>
      </c>
    </row>
    <row r="122" spans="1:156" ht="13.35" customHeight="1" x14ac:dyDescent="0.2">
      <c r="A122" s="21">
        <f t="shared" si="147"/>
        <v>121</v>
      </c>
      <c r="B122" s="22">
        <f t="shared" si="149"/>
        <v>52</v>
      </c>
      <c r="C122" s="21">
        <f t="shared" si="121"/>
        <v>1051</v>
      </c>
      <c r="E122" s="44" t="s">
        <v>241</v>
      </c>
      <c r="F122" s="12">
        <f>Stats!I22</f>
        <v>10</v>
      </c>
      <c r="DQ122" s="35">
        <v>119</v>
      </c>
      <c r="DR122" s="32">
        <v>80</v>
      </c>
      <c r="DS122" s="73">
        <v>104.5</v>
      </c>
      <c r="DT122" s="71">
        <v>25</v>
      </c>
      <c r="DU122" s="21">
        <v>184</v>
      </c>
      <c r="DV122" s="31">
        <f t="shared" si="117"/>
        <v>219</v>
      </c>
      <c r="DW122" s="30">
        <f t="shared" si="148"/>
        <v>417</v>
      </c>
      <c r="DX122" s="36">
        <v>25</v>
      </c>
      <c r="DY122" s="23">
        <v>149.5</v>
      </c>
      <c r="DZ122" s="20">
        <v>120</v>
      </c>
      <c r="EA122" s="12">
        <f t="shared" si="122"/>
        <v>490</v>
      </c>
      <c r="EB122" s="12">
        <f t="shared" si="123"/>
        <v>550</v>
      </c>
      <c r="EC122" s="12">
        <f t="shared" si="124"/>
        <v>540</v>
      </c>
      <c r="ED122" s="12">
        <f t="shared" si="125"/>
        <v>430</v>
      </c>
      <c r="EE122" s="12">
        <f t="shared" si="126"/>
        <v>330</v>
      </c>
      <c r="EF122" s="12">
        <f t="shared" si="127"/>
        <v>240</v>
      </c>
      <c r="EG122" s="12">
        <f t="shared" si="128"/>
        <v>230</v>
      </c>
      <c r="EH122" s="12">
        <f t="shared" si="129"/>
        <v>230</v>
      </c>
      <c r="EI122" s="12">
        <f t="shared" si="130"/>
        <v>220</v>
      </c>
      <c r="EJ122" s="12">
        <f t="shared" si="131"/>
        <v>210</v>
      </c>
      <c r="EK122" s="12">
        <f t="shared" si="132"/>
        <v>420</v>
      </c>
      <c r="EL122" s="12">
        <f t="shared" si="133"/>
        <v>230</v>
      </c>
      <c r="EM122" s="12">
        <f t="shared" si="134"/>
        <v>220</v>
      </c>
      <c r="EN122" s="12">
        <f t="shared" si="135"/>
        <v>310</v>
      </c>
      <c r="EO122" s="12">
        <f t="shared" si="136"/>
        <v>210</v>
      </c>
      <c r="EP122" s="12">
        <f t="shared" si="137"/>
        <v>200</v>
      </c>
      <c r="EQ122" s="12">
        <f t="shared" si="138"/>
        <v>190</v>
      </c>
      <c r="ER122" s="12">
        <f t="shared" si="139"/>
        <v>300</v>
      </c>
      <c r="ES122" s="12">
        <f t="shared" si="140"/>
        <v>280</v>
      </c>
      <c r="ET122" s="12">
        <f t="shared" si="141"/>
        <v>180</v>
      </c>
      <c r="EU122" s="12">
        <f t="shared" si="142"/>
        <v>270</v>
      </c>
      <c r="EV122" s="12">
        <f t="shared" si="143"/>
        <v>180</v>
      </c>
      <c r="EW122" s="12">
        <f t="shared" si="144"/>
        <v>160</v>
      </c>
      <c r="EX122" s="12">
        <f t="shared" si="145"/>
        <v>150</v>
      </c>
      <c r="EY122" s="12">
        <f t="shared" si="146"/>
        <v>130</v>
      </c>
      <c r="EZ122" s="20">
        <v>122</v>
      </c>
    </row>
    <row r="123" spans="1:156" ht="13.35" customHeight="1" x14ac:dyDescent="0.2">
      <c r="A123" s="21">
        <f t="shared" si="147"/>
        <v>122</v>
      </c>
      <c r="B123" s="22">
        <f t="shared" si="149"/>
        <v>54</v>
      </c>
      <c r="C123" s="21">
        <f t="shared" si="121"/>
        <v>1114</v>
      </c>
      <c r="E123" s="44" t="s">
        <v>242</v>
      </c>
      <c r="F123" s="12">
        <f>Stats!I20</f>
        <v>2</v>
      </c>
      <c r="DQ123" s="35">
        <v>120</v>
      </c>
      <c r="DR123" s="32">
        <v>80</v>
      </c>
      <c r="DS123" s="73">
        <v>105</v>
      </c>
      <c r="DT123" s="71">
        <v>25</v>
      </c>
      <c r="DU123" s="21">
        <v>185</v>
      </c>
      <c r="DV123" s="31">
        <f t="shared" si="117"/>
        <v>220</v>
      </c>
      <c r="DW123" s="30">
        <f t="shared" si="148"/>
        <v>420</v>
      </c>
      <c r="DX123" s="36">
        <v>25</v>
      </c>
      <c r="DY123" s="23">
        <v>150</v>
      </c>
      <c r="DZ123" s="12">
        <v>121</v>
      </c>
      <c r="EA123" s="12">
        <f t="shared" si="122"/>
        <v>493</v>
      </c>
      <c r="EB123" s="12">
        <f t="shared" si="123"/>
        <v>554</v>
      </c>
      <c r="EC123" s="12">
        <f t="shared" si="124"/>
        <v>544</v>
      </c>
      <c r="ED123" s="12">
        <f t="shared" si="125"/>
        <v>433</v>
      </c>
      <c r="EE123" s="12">
        <f t="shared" si="126"/>
        <v>332</v>
      </c>
      <c r="EF123" s="12">
        <f t="shared" si="127"/>
        <v>241</v>
      </c>
      <c r="EG123" s="12">
        <f t="shared" si="128"/>
        <v>231</v>
      </c>
      <c r="EH123" s="12">
        <f t="shared" si="129"/>
        <v>231</v>
      </c>
      <c r="EI123" s="12">
        <f t="shared" si="130"/>
        <v>221</v>
      </c>
      <c r="EJ123" s="12">
        <f t="shared" si="131"/>
        <v>211</v>
      </c>
      <c r="EK123" s="12">
        <f t="shared" si="132"/>
        <v>423</v>
      </c>
      <c r="EL123" s="12">
        <f t="shared" si="133"/>
        <v>231</v>
      </c>
      <c r="EM123" s="12">
        <f t="shared" si="134"/>
        <v>221</v>
      </c>
      <c r="EN123" s="12">
        <f t="shared" si="135"/>
        <v>312</v>
      </c>
      <c r="EO123" s="12">
        <f t="shared" si="136"/>
        <v>211</v>
      </c>
      <c r="EP123" s="12">
        <f t="shared" si="137"/>
        <v>201</v>
      </c>
      <c r="EQ123" s="12">
        <f t="shared" si="138"/>
        <v>191</v>
      </c>
      <c r="ER123" s="12">
        <f t="shared" si="139"/>
        <v>302</v>
      </c>
      <c r="ES123" s="12">
        <f t="shared" si="140"/>
        <v>282</v>
      </c>
      <c r="ET123" s="12">
        <f t="shared" si="141"/>
        <v>181</v>
      </c>
      <c r="EU123" s="12">
        <f t="shared" si="142"/>
        <v>272</v>
      </c>
      <c r="EV123" s="12">
        <f t="shared" si="143"/>
        <v>181</v>
      </c>
      <c r="EW123" s="12">
        <f t="shared" si="144"/>
        <v>161</v>
      </c>
      <c r="EX123" s="12">
        <f t="shared" si="145"/>
        <v>151</v>
      </c>
      <c r="EY123" s="12">
        <f t="shared" si="146"/>
        <v>131</v>
      </c>
      <c r="EZ123" s="12">
        <v>123</v>
      </c>
    </row>
    <row r="124" spans="1:156" ht="13.35" customHeight="1" x14ac:dyDescent="0.2">
      <c r="A124" s="21">
        <f t="shared" si="147"/>
        <v>123</v>
      </c>
      <c r="B124" s="22">
        <f t="shared" si="149"/>
        <v>56</v>
      </c>
      <c r="C124" s="21">
        <f t="shared" ref="C124:C151" si="151">90+(A124-90)^2</f>
        <v>1179</v>
      </c>
      <c r="E124" s="44" t="s">
        <v>868</v>
      </c>
      <c r="F124" s="43">
        <f>(F122+F123)/2</f>
        <v>6</v>
      </c>
      <c r="DQ124" s="35">
        <v>121</v>
      </c>
      <c r="DR124" s="32">
        <v>80</v>
      </c>
      <c r="DS124" s="73">
        <v>105.5</v>
      </c>
      <c r="DT124" s="71">
        <v>25</v>
      </c>
      <c r="DU124" s="21">
        <v>186</v>
      </c>
      <c r="DV124" s="31">
        <f t="shared" si="117"/>
        <v>221</v>
      </c>
      <c r="DW124" s="30">
        <f t="shared" si="148"/>
        <v>423</v>
      </c>
      <c r="DX124" s="36">
        <v>25</v>
      </c>
      <c r="DY124" s="23">
        <v>150.5</v>
      </c>
      <c r="DZ124" s="12">
        <v>122</v>
      </c>
      <c r="EA124" s="12">
        <f t="shared" si="122"/>
        <v>496</v>
      </c>
      <c r="EB124" s="12">
        <f t="shared" si="123"/>
        <v>558</v>
      </c>
      <c r="EC124" s="12">
        <f t="shared" si="124"/>
        <v>548</v>
      </c>
      <c r="ED124" s="12">
        <f t="shared" si="125"/>
        <v>436</v>
      </c>
      <c r="EE124" s="12">
        <f t="shared" si="126"/>
        <v>334</v>
      </c>
      <c r="EF124" s="12">
        <f t="shared" si="127"/>
        <v>242</v>
      </c>
      <c r="EG124" s="12">
        <f t="shared" si="128"/>
        <v>232</v>
      </c>
      <c r="EH124" s="12">
        <f t="shared" si="129"/>
        <v>232</v>
      </c>
      <c r="EI124" s="12">
        <f t="shared" si="130"/>
        <v>222</v>
      </c>
      <c r="EJ124" s="12">
        <f t="shared" si="131"/>
        <v>212</v>
      </c>
      <c r="EK124" s="12">
        <f t="shared" si="132"/>
        <v>426</v>
      </c>
      <c r="EL124" s="12">
        <f t="shared" si="133"/>
        <v>232</v>
      </c>
      <c r="EM124" s="12">
        <f t="shared" si="134"/>
        <v>222</v>
      </c>
      <c r="EN124" s="12">
        <f t="shared" si="135"/>
        <v>314</v>
      </c>
      <c r="EO124" s="12">
        <f t="shared" si="136"/>
        <v>212</v>
      </c>
      <c r="EP124" s="12">
        <f t="shared" si="137"/>
        <v>202</v>
      </c>
      <c r="EQ124" s="12">
        <f t="shared" si="138"/>
        <v>192</v>
      </c>
      <c r="ER124" s="12">
        <f t="shared" si="139"/>
        <v>304</v>
      </c>
      <c r="ES124" s="12">
        <f t="shared" si="140"/>
        <v>284</v>
      </c>
      <c r="ET124" s="12">
        <f t="shared" si="141"/>
        <v>182</v>
      </c>
      <c r="EU124" s="12">
        <f t="shared" si="142"/>
        <v>274</v>
      </c>
      <c r="EV124" s="12">
        <f t="shared" si="143"/>
        <v>182</v>
      </c>
      <c r="EW124" s="12">
        <f t="shared" si="144"/>
        <v>162</v>
      </c>
      <c r="EX124" s="12">
        <f t="shared" si="145"/>
        <v>152</v>
      </c>
      <c r="EY124" s="12">
        <f t="shared" si="146"/>
        <v>132</v>
      </c>
      <c r="EZ124" s="12">
        <v>124</v>
      </c>
    </row>
    <row r="125" spans="1:156" ht="13.35" customHeight="1" x14ac:dyDescent="0.2">
      <c r="A125" s="21">
        <f t="shared" si="147"/>
        <v>124</v>
      </c>
      <c r="B125" s="22">
        <f t="shared" si="149"/>
        <v>58</v>
      </c>
      <c r="C125" s="21">
        <f t="shared" si="151"/>
        <v>1246</v>
      </c>
      <c r="E125" s="44" t="s">
        <v>1371</v>
      </c>
      <c r="F125" s="43">
        <f>(F121+F123)/2</f>
        <v>3.5</v>
      </c>
      <c r="DQ125" s="35">
        <v>122</v>
      </c>
      <c r="DR125" s="32">
        <v>80</v>
      </c>
      <c r="DS125" s="73">
        <v>106</v>
      </c>
      <c r="DT125" s="71">
        <v>25</v>
      </c>
      <c r="DU125" s="21">
        <v>187</v>
      </c>
      <c r="DV125" s="31">
        <f t="shared" si="117"/>
        <v>222</v>
      </c>
      <c r="DW125" s="30">
        <f t="shared" si="148"/>
        <v>426</v>
      </c>
      <c r="DX125" s="36">
        <v>25</v>
      </c>
      <c r="DY125" s="23">
        <v>151</v>
      </c>
      <c r="DZ125" s="12">
        <v>123</v>
      </c>
      <c r="EA125" s="12">
        <f t="shared" si="122"/>
        <v>499</v>
      </c>
      <c r="EB125" s="12">
        <f t="shared" si="123"/>
        <v>562</v>
      </c>
      <c r="EC125" s="12">
        <f t="shared" si="124"/>
        <v>552</v>
      </c>
      <c r="ED125" s="12">
        <f t="shared" si="125"/>
        <v>439</v>
      </c>
      <c r="EE125" s="12">
        <f t="shared" si="126"/>
        <v>336</v>
      </c>
      <c r="EF125" s="12">
        <f t="shared" si="127"/>
        <v>243</v>
      </c>
      <c r="EG125" s="12">
        <f t="shared" si="128"/>
        <v>233</v>
      </c>
      <c r="EH125" s="12">
        <f t="shared" si="129"/>
        <v>233</v>
      </c>
      <c r="EI125" s="12">
        <f t="shared" si="130"/>
        <v>223</v>
      </c>
      <c r="EJ125" s="12">
        <f t="shared" si="131"/>
        <v>213</v>
      </c>
      <c r="EK125" s="12">
        <f t="shared" si="132"/>
        <v>429</v>
      </c>
      <c r="EL125" s="12">
        <f t="shared" si="133"/>
        <v>233</v>
      </c>
      <c r="EM125" s="12">
        <f t="shared" si="134"/>
        <v>223</v>
      </c>
      <c r="EN125" s="12">
        <f t="shared" si="135"/>
        <v>316</v>
      </c>
      <c r="EO125" s="12">
        <f t="shared" si="136"/>
        <v>213</v>
      </c>
      <c r="EP125" s="12">
        <f t="shared" si="137"/>
        <v>203</v>
      </c>
      <c r="EQ125" s="12">
        <f t="shared" si="138"/>
        <v>193</v>
      </c>
      <c r="ER125" s="12">
        <f t="shared" si="139"/>
        <v>306</v>
      </c>
      <c r="ES125" s="12">
        <f t="shared" si="140"/>
        <v>286</v>
      </c>
      <c r="ET125" s="12">
        <f t="shared" si="141"/>
        <v>183</v>
      </c>
      <c r="EU125" s="12">
        <f t="shared" si="142"/>
        <v>276</v>
      </c>
      <c r="EV125" s="12">
        <f t="shared" si="143"/>
        <v>183</v>
      </c>
      <c r="EW125" s="12">
        <f t="shared" si="144"/>
        <v>163</v>
      </c>
      <c r="EX125" s="12">
        <f t="shared" si="145"/>
        <v>153</v>
      </c>
      <c r="EY125" s="12">
        <f t="shared" si="146"/>
        <v>133</v>
      </c>
      <c r="EZ125" s="12">
        <v>125</v>
      </c>
    </row>
    <row r="126" spans="1:156" ht="13.35" customHeight="1" x14ac:dyDescent="0.2">
      <c r="A126" s="21">
        <f t="shared" si="147"/>
        <v>125</v>
      </c>
      <c r="B126" s="22">
        <f t="shared" si="149"/>
        <v>60</v>
      </c>
      <c r="C126" s="21">
        <f t="shared" si="151"/>
        <v>1315</v>
      </c>
      <c r="E126" s="44" t="s">
        <v>870</v>
      </c>
      <c r="F126" s="43">
        <f>(F121+F122)/2</f>
        <v>7.5</v>
      </c>
      <c r="DQ126" s="35">
        <v>123</v>
      </c>
      <c r="DR126" s="32">
        <v>81</v>
      </c>
      <c r="DS126" s="73">
        <v>106.5</v>
      </c>
      <c r="DT126" s="71">
        <v>25</v>
      </c>
      <c r="DU126" s="21">
        <v>188</v>
      </c>
      <c r="DV126" s="31">
        <f t="shared" si="117"/>
        <v>223</v>
      </c>
      <c r="DW126" s="30">
        <f t="shared" si="148"/>
        <v>429</v>
      </c>
      <c r="DX126" s="36">
        <v>25</v>
      </c>
      <c r="DY126" s="23">
        <v>151.5</v>
      </c>
      <c r="DZ126" s="12">
        <v>124</v>
      </c>
      <c r="EA126" s="12">
        <f t="shared" si="122"/>
        <v>502</v>
      </c>
      <c r="EB126" s="12">
        <f t="shared" si="123"/>
        <v>566</v>
      </c>
      <c r="EC126" s="12">
        <f t="shared" si="124"/>
        <v>556</v>
      </c>
      <c r="ED126" s="12">
        <f t="shared" si="125"/>
        <v>442</v>
      </c>
      <c r="EE126" s="12">
        <f t="shared" si="126"/>
        <v>338</v>
      </c>
      <c r="EF126" s="12">
        <f t="shared" si="127"/>
        <v>244</v>
      </c>
      <c r="EG126" s="12">
        <f t="shared" si="128"/>
        <v>234</v>
      </c>
      <c r="EH126" s="12">
        <f t="shared" si="129"/>
        <v>234</v>
      </c>
      <c r="EI126" s="12">
        <f t="shared" si="130"/>
        <v>224</v>
      </c>
      <c r="EJ126" s="12">
        <f t="shared" si="131"/>
        <v>214</v>
      </c>
      <c r="EK126" s="12">
        <f t="shared" si="132"/>
        <v>432</v>
      </c>
      <c r="EL126" s="12">
        <f t="shared" si="133"/>
        <v>234</v>
      </c>
      <c r="EM126" s="12">
        <f t="shared" si="134"/>
        <v>224</v>
      </c>
      <c r="EN126" s="12">
        <f t="shared" si="135"/>
        <v>318</v>
      </c>
      <c r="EO126" s="12">
        <f t="shared" si="136"/>
        <v>214</v>
      </c>
      <c r="EP126" s="12">
        <f t="shared" si="137"/>
        <v>204</v>
      </c>
      <c r="EQ126" s="12">
        <f t="shared" si="138"/>
        <v>194</v>
      </c>
      <c r="ER126" s="12">
        <f t="shared" si="139"/>
        <v>308</v>
      </c>
      <c r="ES126" s="12">
        <f t="shared" si="140"/>
        <v>288</v>
      </c>
      <c r="ET126" s="12">
        <f t="shared" si="141"/>
        <v>184</v>
      </c>
      <c r="EU126" s="12">
        <f t="shared" si="142"/>
        <v>278</v>
      </c>
      <c r="EV126" s="12">
        <f t="shared" si="143"/>
        <v>184</v>
      </c>
      <c r="EW126" s="12">
        <f t="shared" si="144"/>
        <v>164</v>
      </c>
      <c r="EX126" s="12">
        <f t="shared" si="145"/>
        <v>154</v>
      </c>
      <c r="EY126" s="12">
        <f t="shared" si="146"/>
        <v>134</v>
      </c>
      <c r="EZ126" s="12">
        <v>126</v>
      </c>
    </row>
    <row r="127" spans="1:156" ht="13.35" customHeight="1" x14ac:dyDescent="0.2">
      <c r="A127" s="21">
        <f t="shared" si="147"/>
        <v>126</v>
      </c>
      <c r="B127" s="22">
        <f t="shared" si="149"/>
        <v>62</v>
      </c>
      <c r="C127" s="21">
        <f t="shared" si="151"/>
        <v>1386</v>
      </c>
      <c r="E127" s="44" t="s">
        <v>871</v>
      </c>
      <c r="F127" s="43">
        <f>(F121+F122+F123)/3</f>
        <v>5.666666666666667</v>
      </c>
      <c r="DQ127" s="35">
        <v>124</v>
      </c>
      <c r="DR127" s="32">
        <v>81</v>
      </c>
      <c r="DS127" s="73">
        <v>107</v>
      </c>
      <c r="DT127" s="71">
        <v>25</v>
      </c>
      <c r="DU127" s="21">
        <v>189</v>
      </c>
      <c r="DV127" s="31">
        <f t="shared" si="117"/>
        <v>224</v>
      </c>
      <c r="DW127" s="30">
        <f t="shared" si="148"/>
        <v>432</v>
      </c>
      <c r="DX127" s="36">
        <v>25</v>
      </c>
      <c r="DY127" s="23">
        <v>152</v>
      </c>
      <c r="DZ127" s="12">
        <v>125</v>
      </c>
      <c r="EA127" s="12">
        <f t="shared" si="122"/>
        <v>505</v>
      </c>
      <c r="EB127" s="12">
        <f t="shared" si="123"/>
        <v>570</v>
      </c>
      <c r="EC127" s="12">
        <f t="shared" si="124"/>
        <v>560</v>
      </c>
      <c r="ED127" s="12">
        <f t="shared" si="125"/>
        <v>445</v>
      </c>
      <c r="EE127" s="12">
        <f t="shared" si="126"/>
        <v>340</v>
      </c>
      <c r="EF127" s="12">
        <f t="shared" si="127"/>
        <v>245</v>
      </c>
      <c r="EG127" s="12">
        <f t="shared" si="128"/>
        <v>235</v>
      </c>
      <c r="EH127" s="12">
        <f t="shared" si="129"/>
        <v>235</v>
      </c>
      <c r="EI127" s="12">
        <f t="shared" si="130"/>
        <v>225</v>
      </c>
      <c r="EJ127" s="12">
        <f t="shared" si="131"/>
        <v>215</v>
      </c>
      <c r="EK127" s="12">
        <f t="shared" si="132"/>
        <v>435</v>
      </c>
      <c r="EL127" s="12">
        <f t="shared" si="133"/>
        <v>235</v>
      </c>
      <c r="EM127" s="12">
        <f t="shared" si="134"/>
        <v>225</v>
      </c>
      <c r="EN127" s="12">
        <f t="shared" si="135"/>
        <v>320</v>
      </c>
      <c r="EO127" s="12">
        <f t="shared" si="136"/>
        <v>215</v>
      </c>
      <c r="EP127" s="12">
        <f t="shared" si="137"/>
        <v>205</v>
      </c>
      <c r="EQ127" s="12">
        <f t="shared" si="138"/>
        <v>195</v>
      </c>
      <c r="ER127" s="12">
        <f t="shared" si="139"/>
        <v>310</v>
      </c>
      <c r="ES127" s="12">
        <f t="shared" si="140"/>
        <v>290</v>
      </c>
      <c r="ET127" s="12">
        <f t="shared" si="141"/>
        <v>185</v>
      </c>
      <c r="EU127" s="12">
        <f t="shared" si="142"/>
        <v>280</v>
      </c>
      <c r="EV127" s="12">
        <f t="shared" si="143"/>
        <v>185</v>
      </c>
      <c r="EW127" s="12">
        <f t="shared" si="144"/>
        <v>165</v>
      </c>
      <c r="EX127" s="12">
        <f t="shared" si="145"/>
        <v>155</v>
      </c>
      <c r="EY127" s="12">
        <f t="shared" si="146"/>
        <v>135</v>
      </c>
      <c r="EZ127" s="12">
        <v>127</v>
      </c>
    </row>
    <row r="128" spans="1:156" ht="13.35" customHeight="1" x14ac:dyDescent="0.2">
      <c r="A128" s="21">
        <f t="shared" si="147"/>
        <v>127</v>
      </c>
      <c r="B128" s="22">
        <f t="shared" si="149"/>
        <v>64</v>
      </c>
      <c r="C128" s="21">
        <f t="shared" si="151"/>
        <v>1459</v>
      </c>
      <c r="DQ128" s="35">
        <v>125</v>
      </c>
      <c r="DR128" s="32">
        <v>82</v>
      </c>
      <c r="DS128" s="73">
        <v>107.5</v>
      </c>
      <c r="DT128" s="71">
        <v>25</v>
      </c>
      <c r="DU128" s="21">
        <v>190</v>
      </c>
      <c r="DV128" s="31">
        <f t="shared" si="117"/>
        <v>225</v>
      </c>
      <c r="DW128" s="30">
        <f t="shared" si="148"/>
        <v>435</v>
      </c>
      <c r="DX128" s="36">
        <v>25</v>
      </c>
      <c r="DY128" s="23">
        <v>152.5</v>
      </c>
      <c r="DZ128" s="12">
        <v>126</v>
      </c>
      <c r="EA128" s="12">
        <f t="shared" si="122"/>
        <v>508</v>
      </c>
      <c r="EB128" s="12">
        <f t="shared" si="123"/>
        <v>574</v>
      </c>
      <c r="EC128" s="12">
        <f t="shared" si="124"/>
        <v>564</v>
      </c>
      <c r="ED128" s="12">
        <f t="shared" si="125"/>
        <v>448</v>
      </c>
      <c r="EE128" s="12">
        <f t="shared" si="126"/>
        <v>342</v>
      </c>
      <c r="EF128" s="12">
        <f t="shared" si="127"/>
        <v>246</v>
      </c>
      <c r="EG128" s="12">
        <f t="shared" si="128"/>
        <v>236</v>
      </c>
      <c r="EH128" s="12">
        <f t="shared" si="129"/>
        <v>236</v>
      </c>
      <c r="EI128" s="12">
        <f t="shared" si="130"/>
        <v>226</v>
      </c>
      <c r="EJ128" s="12">
        <f t="shared" si="131"/>
        <v>216</v>
      </c>
      <c r="EK128" s="12">
        <f t="shared" si="132"/>
        <v>438</v>
      </c>
      <c r="EL128" s="12">
        <f t="shared" si="133"/>
        <v>236</v>
      </c>
      <c r="EM128" s="12">
        <f t="shared" si="134"/>
        <v>226</v>
      </c>
      <c r="EN128" s="12">
        <f t="shared" si="135"/>
        <v>322</v>
      </c>
      <c r="EO128" s="12">
        <f t="shared" si="136"/>
        <v>216</v>
      </c>
      <c r="EP128" s="12">
        <f t="shared" si="137"/>
        <v>206</v>
      </c>
      <c r="EQ128" s="12">
        <f t="shared" si="138"/>
        <v>196</v>
      </c>
      <c r="ER128" s="12">
        <f t="shared" si="139"/>
        <v>312</v>
      </c>
      <c r="ES128" s="12">
        <f t="shared" si="140"/>
        <v>292</v>
      </c>
      <c r="ET128" s="12">
        <f t="shared" si="141"/>
        <v>186</v>
      </c>
      <c r="EU128" s="12">
        <f t="shared" si="142"/>
        <v>282</v>
      </c>
      <c r="EV128" s="12">
        <f t="shared" si="143"/>
        <v>186</v>
      </c>
      <c r="EW128" s="12">
        <f t="shared" si="144"/>
        <v>166</v>
      </c>
      <c r="EX128" s="12">
        <f t="shared" si="145"/>
        <v>156</v>
      </c>
      <c r="EY128" s="12">
        <f t="shared" si="146"/>
        <v>136</v>
      </c>
      <c r="EZ128" s="12">
        <v>128</v>
      </c>
    </row>
    <row r="129" spans="1:156" ht="13.35" customHeight="1" x14ac:dyDescent="0.2">
      <c r="A129" s="21">
        <f t="shared" si="147"/>
        <v>128</v>
      </c>
      <c r="B129" s="22">
        <f t="shared" si="149"/>
        <v>66</v>
      </c>
      <c r="C129" s="21">
        <f t="shared" si="151"/>
        <v>1534</v>
      </c>
      <c r="F129" s="12" t="s">
        <v>763</v>
      </c>
      <c r="G129" s="12" t="s">
        <v>764</v>
      </c>
      <c r="H129" s="12" t="s">
        <v>765</v>
      </c>
      <c r="I129" s="12" t="s">
        <v>766</v>
      </c>
      <c r="J129" s="12" t="s">
        <v>767</v>
      </c>
      <c r="K129" s="12" t="s">
        <v>768</v>
      </c>
      <c r="L129" s="12" t="s">
        <v>769</v>
      </c>
      <c r="M129" s="12" t="s">
        <v>770</v>
      </c>
      <c r="N129" s="12" t="s">
        <v>771</v>
      </c>
      <c r="O129" s="12" t="s">
        <v>772</v>
      </c>
      <c r="P129" s="12" t="s">
        <v>773</v>
      </c>
      <c r="Q129" s="12" t="s">
        <v>774</v>
      </c>
      <c r="R129" s="12" t="s">
        <v>775</v>
      </c>
      <c r="S129" s="12" t="s">
        <v>181</v>
      </c>
      <c r="T129" s="12" t="s">
        <v>776</v>
      </c>
      <c r="U129" s="12" t="s">
        <v>777</v>
      </c>
      <c r="V129" s="12" t="s">
        <v>778</v>
      </c>
      <c r="W129" s="12" t="s">
        <v>779</v>
      </c>
      <c r="X129" s="12" t="s">
        <v>780</v>
      </c>
      <c r="Y129" s="12" t="s">
        <v>781</v>
      </c>
      <c r="AA129" s="12" t="str">
        <f>AA117</f>
        <v>Arcanist (AC)</v>
      </c>
      <c r="AB129" s="12" t="str">
        <f>AB117</f>
        <v>Wizard (AC)</v>
      </c>
      <c r="AC129" s="12" t="str">
        <f>AC117</f>
        <v>Chaotic (AC)</v>
      </c>
      <c r="AD129" s="12" t="str">
        <f>AD117</f>
        <v>Magehunter (AC)</v>
      </c>
      <c r="AF129" s="12" t="s">
        <v>786</v>
      </c>
      <c r="AG129" s="12" t="s">
        <v>787</v>
      </c>
      <c r="AH129" s="12" t="s">
        <v>788</v>
      </c>
      <c r="AJ129" s="12" t="s">
        <v>789</v>
      </c>
      <c r="AK129" s="12" t="s">
        <v>790</v>
      </c>
      <c r="AL129" s="12" t="s">
        <v>791</v>
      </c>
      <c r="AM129" s="12" t="s">
        <v>792</v>
      </c>
      <c r="AO129" s="12" t="s">
        <v>793</v>
      </c>
      <c r="AP129" s="12" t="s">
        <v>794</v>
      </c>
      <c r="AQ129" s="12" t="s">
        <v>795</v>
      </c>
      <c r="AS129" s="12" t="s">
        <v>796</v>
      </c>
      <c r="AT129" s="12" t="s">
        <v>797</v>
      </c>
      <c r="AU129" s="12" t="s">
        <v>798</v>
      </c>
      <c r="AV129" s="12" t="s">
        <v>799</v>
      </c>
      <c r="AW129" s="12" t="s">
        <v>800</v>
      </c>
      <c r="AX129" s="12" t="s">
        <v>801</v>
      </c>
      <c r="AY129" s="12" t="s">
        <v>802</v>
      </c>
      <c r="AZ129" s="12" t="s">
        <v>803</v>
      </c>
      <c r="BA129" s="12" t="str">
        <f t="shared" ref="BA129:CQ129" si="152">BA117</f>
        <v>Priest of Culture</v>
      </c>
      <c r="BB129" s="12" t="str">
        <f t="shared" si="152"/>
        <v>Priest of Darkness, Night</v>
      </c>
      <c r="BC129" s="12" t="str">
        <f t="shared" si="152"/>
        <v>Priest of Dawn</v>
      </c>
      <c r="BD129" s="12" t="str">
        <f t="shared" si="152"/>
        <v>Priest of Death</v>
      </c>
      <c r="BE129" s="12" t="str">
        <f t="shared" si="152"/>
        <v>Priest of Disease</v>
      </c>
      <c r="BF129" s="12" t="str">
        <f t="shared" si="152"/>
        <v>Priest of Earth</v>
      </c>
      <c r="BG129" s="12" t="str">
        <f t="shared" si="152"/>
        <v>Priest of Fate, Destiny</v>
      </c>
      <c r="BH129" s="12" t="str">
        <f t="shared" si="152"/>
        <v>Priest of Fertility</v>
      </c>
      <c r="BI129" s="12" t="str">
        <f t="shared" si="152"/>
        <v>Priest of Fire</v>
      </c>
      <c r="BJ129" s="12" t="str">
        <f t="shared" si="152"/>
        <v>Priest of Fortune, Luck</v>
      </c>
      <c r="BK129" s="12" t="str">
        <f t="shared" si="152"/>
        <v>Priest of Guardianship</v>
      </c>
      <c r="BL129" s="12" t="str">
        <f t="shared" si="152"/>
        <v>Priest of Healing</v>
      </c>
      <c r="BM129" s="12" t="str">
        <f t="shared" si="152"/>
        <v>Priest of Hunting</v>
      </c>
      <c r="BN129" s="12" t="str">
        <f t="shared" si="152"/>
        <v>Priest of Justice, Revenge</v>
      </c>
      <c r="BO129" s="12" t="str">
        <f t="shared" si="152"/>
        <v>Priest of Light</v>
      </c>
      <c r="BP129" s="12" t="str">
        <f t="shared" si="152"/>
        <v>Priest of Lightning</v>
      </c>
      <c r="BQ129" s="12" t="str">
        <f t="shared" si="152"/>
        <v>Priest of Literature</v>
      </c>
      <c r="BR129" s="12" t="str">
        <f t="shared" si="152"/>
        <v>Priest of Love</v>
      </c>
      <c r="BS129" s="12" t="str">
        <f t="shared" si="152"/>
        <v>Priest of Magic</v>
      </c>
      <c r="BT129" s="12" t="str">
        <f t="shared" si="152"/>
        <v>Priest of Marriage</v>
      </c>
      <c r="BU129" s="12" t="str">
        <f t="shared" si="152"/>
        <v>Priest of Messengers</v>
      </c>
      <c r="BV129" s="12" t="str">
        <f t="shared" si="152"/>
        <v>Priest of Metalwork</v>
      </c>
      <c r="BW129" s="12" t="str">
        <f t="shared" si="152"/>
        <v>Priest of Mischief/Trickery</v>
      </c>
      <c r="BX129" s="12" t="str">
        <f t="shared" si="152"/>
        <v>Priest of Moon</v>
      </c>
      <c r="BY129" s="12" t="str">
        <f t="shared" si="152"/>
        <v>Priest of Music, Dance</v>
      </c>
      <c r="BZ129" s="12" t="str">
        <f t="shared" si="152"/>
        <v>Priest of Nature</v>
      </c>
      <c r="CA129" s="12" t="str">
        <f t="shared" si="152"/>
        <v>Priest of Ocean, Rivers</v>
      </c>
      <c r="CB129" s="12" t="str">
        <f t="shared" si="152"/>
        <v>Priest of Oracles</v>
      </c>
      <c r="CC129" s="12" t="str">
        <f t="shared" si="152"/>
        <v>Priest of Peace</v>
      </c>
      <c r="CD129" s="12" t="str">
        <f t="shared" si="152"/>
        <v>Priest of Prosperity</v>
      </c>
      <c r="CE129" s="12" t="str">
        <f t="shared" si="152"/>
        <v>Priest of Redemption</v>
      </c>
      <c r="CF129" s="12" t="str">
        <f t="shared" si="152"/>
        <v>Priest of Rulership</v>
      </c>
      <c r="CG129" s="12" t="str">
        <f t="shared" si="152"/>
        <v>Priest of Seasons</v>
      </c>
      <c r="CH129" s="12" t="str">
        <f t="shared" si="152"/>
        <v>Priest of Sky, Weather</v>
      </c>
      <c r="CI129" s="12" t="str">
        <f t="shared" si="152"/>
        <v>Priest of Strength</v>
      </c>
      <c r="CJ129" s="12" t="str">
        <f t="shared" si="152"/>
        <v>Priest of Sun</v>
      </c>
      <c r="CK129" s="12" t="str">
        <f t="shared" si="152"/>
        <v>Priest of Thunder</v>
      </c>
      <c r="CL129" s="12" t="str">
        <f t="shared" si="152"/>
        <v>Priest of Time</v>
      </c>
      <c r="CM129" s="12" t="str">
        <f t="shared" si="152"/>
        <v>Priest of Trade</v>
      </c>
      <c r="CN129" s="12" t="str">
        <f t="shared" si="152"/>
        <v>Priest of Vegetation</v>
      </c>
      <c r="CO129" s="12" t="str">
        <f t="shared" si="152"/>
        <v>Priest of War</v>
      </c>
      <c r="CP129" s="12" t="str">
        <f t="shared" si="152"/>
        <v>Priest of Wind</v>
      </c>
      <c r="CQ129" s="12" t="str">
        <f t="shared" si="152"/>
        <v>Priest of Wisdom</v>
      </c>
      <c r="CS129" s="12" t="str">
        <f>CS117</f>
        <v>Barbarian (FRP)</v>
      </c>
      <c r="CT129" s="12" t="str">
        <f>CT117</f>
        <v>Outrider (FRP)</v>
      </c>
      <c r="CU129" s="12" t="str">
        <f>CU117</f>
        <v>Sage (FRP)</v>
      </c>
      <c r="CV129" s="12" t="str">
        <f>CV117</f>
        <v>Swashbuckler (FRP)</v>
      </c>
      <c r="CX129" s="12" t="s">
        <v>851</v>
      </c>
      <c r="CY129" s="12" t="s">
        <v>852</v>
      </c>
      <c r="CZ129" s="12" t="s">
        <v>853</v>
      </c>
      <c r="DA129" s="12" t="s">
        <v>1129</v>
      </c>
      <c r="DB129" s="12" t="s">
        <v>855</v>
      </c>
      <c r="DC129" s="12" t="s">
        <v>856</v>
      </c>
      <c r="DD129" s="12" t="s">
        <v>857</v>
      </c>
      <c r="DE129" s="12" t="str">
        <f>DE117</f>
        <v>NEW PROF</v>
      </c>
      <c r="DF129" s="12">
        <v>1</v>
      </c>
      <c r="DQ129" s="35">
        <v>126</v>
      </c>
      <c r="DR129" s="32">
        <v>82</v>
      </c>
      <c r="DS129" s="73">
        <v>108</v>
      </c>
      <c r="DT129" s="71">
        <v>25</v>
      </c>
      <c r="DU129" s="21">
        <v>191</v>
      </c>
      <c r="DV129" s="31">
        <f t="shared" si="117"/>
        <v>226</v>
      </c>
      <c r="DW129" s="30">
        <f t="shared" si="148"/>
        <v>438</v>
      </c>
      <c r="DX129" s="36">
        <v>25</v>
      </c>
      <c r="DY129" s="23">
        <v>153</v>
      </c>
      <c r="DZ129" s="12">
        <v>127</v>
      </c>
      <c r="EA129" s="12">
        <f t="shared" si="122"/>
        <v>511</v>
      </c>
      <c r="EB129" s="12">
        <f t="shared" si="123"/>
        <v>578</v>
      </c>
      <c r="EC129" s="12">
        <f t="shared" si="124"/>
        <v>568</v>
      </c>
      <c r="ED129" s="12">
        <f t="shared" si="125"/>
        <v>451</v>
      </c>
      <c r="EE129" s="12">
        <f t="shared" si="126"/>
        <v>344</v>
      </c>
      <c r="EF129" s="12">
        <f t="shared" si="127"/>
        <v>247</v>
      </c>
      <c r="EG129" s="12">
        <f t="shared" si="128"/>
        <v>237</v>
      </c>
      <c r="EH129" s="12">
        <f t="shared" si="129"/>
        <v>237</v>
      </c>
      <c r="EI129" s="12">
        <f t="shared" si="130"/>
        <v>227</v>
      </c>
      <c r="EJ129" s="12">
        <f t="shared" si="131"/>
        <v>217</v>
      </c>
      <c r="EK129" s="12">
        <f t="shared" si="132"/>
        <v>441</v>
      </c>
      <c r="EL129" s="12">
        <f t="shared" si="133"/>
        <v>237</v>
      </c>
      <c r="EM129" s="12">
        <f t="shared" si="134"/>
        <v>227</v>
      </c>
      <c r="EN129" s="12">
        <f t="shared" si="135"/>
        <v>324</v>
      </c>
      <c r="EO129" s="12">
        <f t="shared" si="136"/>
        <v>217</v>
      </c>
      <c r="EP129" s="12">
        <f t="shared" si="137"/>
        <v>207</v>
      </c>
      <c r="EQ129" s="12">
        <f t="shared" si="138"/>
        <v>197</v>
      </c>
      <c r="ER129" s="12">
        <f t="shared" si="139"/>
        <v>314</v>
      </c>
      <c r="ES129" s="12">
        <f t="shared" si="140"/>
        <v>294</v>
      </c>
      <c r="ET129" s="12">
        <f t="shared" si="141"/>
        <v>187</v>
      </c>
      <c r="EU129" s="12">
        <f t="shared" si="142"/>
        <v>284</v>
      </c>
      <c r="EV129" s="12">
        <f t="shared" si="143"/>
        <v>187</v>
      </c>
      <c r="EW129" s="12">
        <f t="shared" si="144"/>
        <v>167</v>
      </c>
      <c r="EX129" s="12">
        <f t="shared" si="145"/>
        <v>157</v>
      </c>
      <c r="EY129" s="12">
        <f t="shared" si="146"/>
        <v>137</v>
      </c>
      <c r="EZ129" s="12">
        <v>129</v>
      </c>
    </row>
    <row r="130" spans="1:156" ht="13.35" customHeight="1" x14ac:dyDescent="0.2">
      <c r="A130" s="21">
        <f t="shared" si="147"/>
        <v>129</v>
      </c>
      <c r="B130" s="22">
        <f t="shared" si="149"/>
        <v>68</v>
      </c>
      <c r="C130" s="21">
        <f t="shared" si="151"/>
        <v>1611</v>
      </c>
      <c r="F130" s="12" t="s">
        <v>1430</v>
      </c>
      <c r="G130" s="12" t="s">
        <v>1430</v>
      </c>
      <c r="H130" s="12" t="s">
        <v>1430</v>
      </c>
      <c r="I130" s="12" t="s">
        <v>1430</v>
      </c>
      <c r="J130" s="12" t="s">
        <v>1430</v>
      </c>
      <c r="K130" s="12" t="s">
        <v>1431</v>
      </c>
      <c r="L130" s="12" t="s">
        <v>1432</v>
      </c>
      <c r="M130" s="12" t="s">
        <v>1433</v>
      </c>
      <c r="N130" s="12" t="s">
        <v>584</v>
      </c>
      <c r="O130" s="12" t="s">
        <v>1434</v>
      </c>
      <c r="P130" s="12" t="s">
        <v>1435</v>
      </c>
      <c r="Q130" s="12" t="s">
        <v>1436</v>
      </c>
      <c r="R130" s="12" t="s">
        <v>1437</v>
      </c>
      <c r="S130" s="12" t="s">
        <v>1438</v>
      </c>
      <c r="T130" s="12" t="s">
        <v>1439</v>
      </c>
      <c r="U130" s="12" t="s">
        <v>1440</v>
      </c>
      <c r="V130" s="12" t="s">
        <v>1441</v>
      </c>
      <c r="W130" s="12" t="s">
        <v>1442</v>
      </c>
      <c r="X130" s="12" t="s">
        <v>1443</v>
      </c>
      <c r="Y130" s="12" t="s">
        <v>1444</v>
      </c>
      <c r="AA130" s="12" t="s">
        <v>1445</v>
      </c>
      <c r="AB130" s="12" t="s">
        <v>1446</v>
      </c>
      <c r="AC130" s="12" t="s">
        <v>1447</v>
      </c>
      <c r="AD130" s="12" t="s">
        <v>1448</v>
      </c>
      <c r="AF130" s="12" t="s">
        <v>1449</v>
      </c>
      <c r="AG130" s="12" t="s">
        <v>1450</v>
      </c>
      <c r="AH130" s="12" t="s">
        <v>1451</v>
      </c>
      <c r="AJ130" s="12" t="s">
        <v>1452</v>
      </c>
      <c r="AK130" s="12" t="s">
        <v>1453</v>
      </c>
      <c r="AL130" s="12" t="s">
        <v>1454</v>
      </c>
      <c r="AM130" s="12" t="s">
        <v>1455</v>
      </c>
      <c r="AO130" s="12" t="s">
        <v>1456</v>
      </c>
      <c r="AP130" s="12" t="s">
        <v>1457</v>
      </c>
      <c r="AQ130" s="12" t="s">
        <v>1458</v>
      </c>
      <c r="AS130" s="12" t="s">
        <v>1459</v>
      </c>
      <c r="AT130" s="12" t="s">
        <v>1459</v>
      </c>
      <c r="AU130" s="12" t="s">
        <v>1433</v>
      </c>
      <c r="AV130" s="12" t="s">
        <v>1460</v>
      </c>
      <c r="AW130" s="12" t="s">
        <v>1461</v>
      </c>
      <c r="AX130" s="12" t="s">
        <v>1459</v>
      </c>
      <c r="AY130" s="12" t="s">
        <v>1459</v>
      </c>
      <c r="AZ130" s="12" t="s">
        <v>1433</v>
      </c>
      <c r="BA130" s="12" t="s">
        <v>1459</v>
      </c>
      <c r="BB130" s="12" t="s">
        <v>1460</v>
      </c>
      <c r="BC130" s="12" t="s">
        <v>1460</v>
      </c>
      <c r="BD130" s="12" t="s">
        <v>1460</v>
      </c>
      <c r="BE130" s="12" t="s">
        <v>1433</v>
      </c>
      <c r="BF130" s="12" t="s">
        <v>1462</v>
      </c>
      <c r="BG130" s="12" t="s">
        <v>1459</v>
      </c>
      <c r="BH130" s="12" t="s">
        <v>1463</v>
      </c>
      <c r="BI130" s="12" t="s">
        <v>1462</v>
      </c>
      <c r="BJ130" s="12" t="s">
        <v>1460</v>
      </c>
      <c r="BK130" s="12" t="s">
        <v>1459</v>
      </c>
      <c r="BL130" s="12" t="s">
        <v>1460</v>
      </c>
      <c r="BM130" s="12" t="s">
        <v>1460</v>
      </c>
      <c r="BN130" s="12" t="s">
        <v>1459</v>
      </c>
      <c r="BO130" s="12" t="s">
        <v>1459</v>
      </c>
      <c r="BP130" s="12" t="s">
        <v>1462</v>
      </c>
      <c r="BQ130" s="12" t="s">
        <v>1460</v>
      </c>
      <c r="BR130" s="12" t="s">
        <v>1462</v>
      </c>
      <c r="BS130" s="12" t="s">
        <v>1460</v>
      </c>
      <c r="BT130" s="12" t="s">
        <v>1433</v>
      </c>
      <c r="BU130" s="12" t="s">
        <v>1460</v>
      </c>
      <c r="BV130" s="12" t="s">
        <v>1459</v>
      </c>
      <c r="BW130" s="12" t="s">
        <v>1460</v>
      </c>
      <c r="BX130" s="12" t="s">
        <v>1459</v>
      </c>
      <c r="BY130" s="12" t="s">
        <v>1459</v>
      </c>
      <c r="BZ130" s="12" t="s">
        <v>1462</v>
      </c>
      <c r="CA130" s="12" t="s">
        <v>1464</v>
      </c>
      <c r="CB130" s="12" t="s">
        <v>1459</v>
      </c>
      <c r="CC130" s="12" t="s">
        <v>1460</v>
      </c>
      <c r="CD130" s="12" t="s">
        <v>1459</v>
      </c>
      <c r="CE130" s="12" t="s">
        <v>1460</v>
      </c>
      <c r="CF130" s="12" t="s">
        <v>1459</v>
      </c>
      <c r="CG130" s="12" t="s">
        <v>1462</v>
      </c>
      <c r="CH130" s="12" t="s">
        <v>1433</v>
      </c>
      <c r="CI130" s="12" t="s">
        <v>1463</v>
      </c>
      <c r="CJ130" s="12" t="s">
        <v>1460</v>
      </c>
      <c r="CK130" s="12" t="s">
        <v>1462</v>
      </c>
      <c r="CL130" s="12" t="s">
        <v>1460</v>
      </c>
      <c r="CM130" s="12" t="s">
        <v>1433</v>
      </c>
      <c r="CN130" s="12" t="s">
        <v>1433</v>
      </c>
      <c r="CO130" s="12" t="s">
        <v>1465</v>
      </c>
      <c r="CP130" s="12" t="s">
        <v>1462</v>
      </c>
      <c r="CQ130" s="12" t="s">
        <v>1433</v>
      </c>
      <c r="CS130" s="12" t="s">
        <v>1430</v>
      </c>
      <c r="CT130" s="12" t="s">
        <v>1430</v>
      </c>
      <c r="CU130" s="12" t="s">
        <v>1430</v>
      </c>
      <c r="CV130" s="12" t="s">
        <v>1430</v>
      </c>
      <c r="CX130" s="12" t="s">
        <v>584</v>
      </c>
      <c r="CY130" s="12" t="s">
        <v>1466</v>
      </c>
      <c r="CZ130" s="12" t="s">
        <v>1466</v>
      </c>
      <c r="DA130" s="12" t="s">
        <v>1430</v>
      </c>
      <c r="DB130" s="12" t="s">
        <v>1467</v>
      </c>
      <c r="DC130" s="12" t="s">
        <v>1467</v>
      </c>
      <c r="DD130" s="12" t="s">
        <v>1467</v>
      </c>
      <c r="DF130" s="12">
        <v>2</v>
      </c>
      <c r="DQ130" s="35">
        <v>127</v>
      </c>
      <c r="DR130" s="32">
        <v>83</v>
      </c>
      <c r="DS130" s="73">
        <v>108.5</v>
      </c>
      <c r="DT130" s="71">
        <v>25</v>
      </c>
      <c r="DU130" s="21">
        <v>192</v>
      </c>
      <c r="DV130" s="31">
        <f t="shared" si="117"/>
        <v>227</v>
      </c>
      <c r="DW130" s="30">
        <f t="shared" si="148"/>
        <v>441</v>
      </c>
      <c r="DX130" s="36">
        <v>25</v>
      </c>
      <c r="DY130" s="23">
        <v>153.5</v>
      </c>
      <c r="DZ130" s="12">
        <v>128</v>
      </c>
      <c r="EA130" s="12">
        <f t="shared" si="122"/>
        <v>514</v>
      </c>
      <c r="EB130" s="12">
        <f t="shared" si="123"/>
        <v>582</v>
      </c>
      <c r="EC130" s="12">
        <f t="shared" si="124"/>
        <v>572</v>
      </c>
      <c r="ED130" s="12">
        <f t="shared" si="125"/>
        <v>454</v>
      </c>
      <c r="EE130" s="12">
        <f t="shared" si="126"/>
        <v>346</v>
      </c>
      <c r="EF130" s="12">
        <f t="shared" si="127"/>
        <v>248</v>
      </c>
      <c r="EG130" s="12">
        <f t="shared" si="128"/>
        <v>238</v>
      </c>
      <c r="EH130" s="12">
        <f t="shared" si="129"/>
        <v>238</v>
      </c>
      <c r="EI130" s="12">
        <f t="shared" si="130"/>
        <v>228</v>
      </c>
      <c r="EJ130" s="12">
        <f t="shared" si="131"/>
        <v>218</v>
      </c>
      <c r="EK130" s="12">
        <f t="shared" si="132"/>
        <v>444</v>
      </c>
      <c r="EL130" s="12">
        <f t="shared" si="133"/>
        <v>238</v>
      </c>
      <c r="EM130" s="12">
        <f t="shared" si="134"/>
        <v>228</v>
      </c>
      <c r="EN130" s="12">
        <f t="shared" si="135"/>
        <v>326</v>
      </c>
      <c r="EO130" s="12">
        <f t="shared" si="136"/>
        <v>218</v>
      </c>
      <c r="EP130" s="12">
        <f t="shared" si="137"/>
        <v>208</v>
      </c>
      <c r="EQ130" s="12">
        <f t="shared" si="138"/>
        <v>198</v>
      </c>
      <c r="ER130" s="12">
        <f t="shared" si="139"/>
        <v>316</v>
      </c>
      <c r="ES130" s="12">
        <f t="shared" si="140"/>
        <v>296</v>
      </c>
      <c r="ET130" s="12">
        <f t="shared" si="141"/>
        <v>188</v>
      </c>
      <c r="EU130" s="12">
        <f t="shared" si="142"/>
        <v>286</v>
      </c>
      <c r="EV130" s="12">
        <f t="shared" si="143"/>
        <v>188</v>
      </c>
      <c r="EW130" s="12">
        <f t="shared" si="144"/>
        <v>168</v>
      </c>
      <c r="EX130" s="12">
        <f t="shared" si="145"/>
        <v>158</v>
      </c>
      <c r="EY130" s="12">
        <f t="shared" si="146"/>
        <v>138</v>
      </c>
      <c r="EZ130" s="12">
        <v>130</v>
      </c>
    </row>
    <row r="131" spans="1:156" ht="13.35" customHeight="1" x14ac:dyDescent="0.2">
      <c r="A131" s="21">
        <f t="shared" ref="A131:A151" si="153">A130+1</f>
        <v>130</v>
      </c>
      <c r="B131" s="22">
        <f t="shared" si="149"/>
        <v>70</v>
      </c>
      <c r="C131" s="21">
        <f t="shared" si="151"/>
        <v>1690</v>
      </c>
      <c r="F131" s="12" t="s">
        <v>1430</v>
      </c>
      <c r="G131" s="12" t="s">
        <v>1430</v>
      </c>
      <c r="H131" s="12" t="s">
        <v>1430</v>
      </c>
      <c r="I131" s="12" t="s">
        <v>1430</v>
      </c>
      <c r="J131" s="12" t="s">
        <v>1430</v>
      </c>
      <c r="K131" s="12" t="s">
        <v>1468</v>
      </c>
      <c r="L131" s="12" t="s">
        <v>1469</v>
      </c>
      <c r="M131" s="12" t="s">
        <v>1460</v>
      </c>
      <c r="N131" s="12" t="s">
        <v>1470</v>
      </c>
      <c r="O131" s="12" t="s">
        <v>1471</v>
      </c>
      <c r="P131" s="12" t="s">
        <v>1472</v>
      </c>
      <c r="Q131" s="12" t="s">
        <v>1473</v>
      </c>
      <c r="R131" s="12" t="s">
        <v>1474</v>
      </c>
      <c r="S131" s="12" t="s">
        <v>1475</v>
      </c>
      <c r="T131" s="12" t="s">
        <v>1476</v>
      </c>
      <c r="U131" s="12" t="s">
        <v>1477</v>
      </c>
      <c r="V131" s="12" t="s">
        <v>1478</v>
      </c>
      <c r="W131" s="12" t="s">
        <v>1479</v>
      </c>
      <c r="X131" s="12" t="s">
        <v>1480</v>
      </c>
      <c r="Y131" s="12" t="s">
        <v>1481</v>
      </c>
      <c r="AA131" s="12" t="s">
        <v>1482</v>
      </c>
      <c r="AB131" s="12" t="s">
        <v>1483</v>
      </c>
      <c r="AC131" s="12" t="s">
        <v>1484</v>
      </c>
      <c r="AD131" s="12" t="s">
        <v>1485</v>
      </c>
      <c r="AF131" s="12" t="s">
        <v>1486</v>
      </c>
      <c r="AG131" s="12" t="s">
        <v>1487</v>
      </c>
      <c r="AH131" s="12" t="s">
        <v>1488</v>
      </c>
      <c r="AJ131" s="12" t="s">
        <v>1489</v>
      </c>
      <c r="AK131" s="12" t="s">
        <v>1490</v>
      </c>
      <c r="AL131" s="12" t="s">
        <v>1491</v>
      </c>
      <c r="AM131" s="12" t="s">
        <v>1492</v>
      </c>
      <c r="AO131" s="12" t="s">
        <v>1493</v>
      </c>
      <c r="AP131" s="12" t="s">
        <v>1494</v>
      </c>
      <c r="AQ131" s="12" t="s">
        <v>1495</v>
      </c>
      <c r="AS131" s="12" t="s">
        <v>1460</v>
      </c>
      <c r="AT131" s="12" t="s">
        <v>1460</v>
      </c>
      <c r="AU131" s="12" t="s">
        <v>1460</v>
      </c>
      <c r="AV131" s="12" t="s">
        <v>1462</v>
      </c>
      <c r="AW131" s="12" t="s">
        <v>1496</v>
      </c>
      <c r="AX131" s="12" t="s">
        <v>1433</v>
      </c>
      <c r="AY131" s="12" t="s">
        <v>1433</v>
      </c>
      <c r="AZ131" s="12" t="s">
        <v>1460</v>
      </c>
      <c r="BA131" s="12" t="s">
        <v>1433</v>
      </c>
      <c r="BB131" s="12" t="s">
        <v>1463</v>
      </c>
      <c r="BC131" s="12" t="s">
        <v>1463</v>
      </c>
      <c r="BD131" s="12" t="s">
        <v>1463</v>
      </c>
      <c r="BE131" s="12" t="s">
        <v>1463</v>
      </c>
      <c r="BF131" s="12" t="s">
        <v>1497</v>
      </c>
      <c r="BG131" s="12" t="s">
        <v>1433</v>
      </c>
      <c r="BH131" s="12" t="s">
        <v>1462</v>
      </c>
      <c r="BI131" s="12" t="s">
        <v>1463</v>
      </c>
      <c r="BJ131" s="12" t="s">
        <v>1498</v>
      </c>
      <c r="BK131" s="12" t="s">
        <v>1497</v>
      </c>
      <c r="BL131" s="12" t="s">
        <v>1499</v>
      </c>
      <c r="BM131" s="12" t="s">
        <v>1500</v>
      </c>
      <c r="BN131" s="12" t="s">
        <v>1460</v>
      </c>
      <c r="BO131" s="12" t="s">
        <v>1460</v>
      </c>
      <c r="BP131" s="12" t="s">
        <v>1498</v>
      </c>
      <c r="BQ131" s="12" t="s">
        <v>1497</v>
      </c>
      <c r="BR131" s="12" t="s">
        <v>1499</v>
      </c>
      <c r="BS131" s="12" t="s">
        <v>1498</v>
      </c>
      <c r="BT131" s="12" t="s">
        <v>1460</v>
      </c>
      <c r="BU131" s="12" t="s">
        <v>1463</v>
      </c>
      <c r="BV131" s="12" t="s">
        <v>1433</v>
      </c>
      <c r="BW131" s="12" t="s">
        <v>1498</v>
      </c>
      <c r="BX131" s="12" t="s">
        <v>1460</v>
      </c>
      <c r="BY131" s="12" t="s">
        <v>1501</v>
      </c>
      <c r="BZ131" s="12" t="s">
        <v>1498</v>
      </c>
      <c r="CA131" s="12" t="s">
        <v>1433</v>
      </c>
      <c r="CB131" s="12" t="s">
        <v>1460</v>
      </c>
      <c r="CC131" s="12" t="s">
        <v>1463</v>
      </c>
      <c r="CD131" s="12" t="s">
        <v>1463</v>
      </c>
      <c r="CE131" s="12" t="s">
        <v>1501</v>
      </c>
      <c r="CF131" s="12" t="s">
        <v>1500</v>
      </c>
      <c r="CG131" s="12" t="s">
        <v>1498</v>
      </c>
      <c r="CH131" s="12" t="s">
        <v>1462</v>
      </c>
      <c r="CI131" s="12" t="s">
        <v>1498</v>
      </c>
      <c r="CJ131" s="12" t="s">
        <v>1498</v>
      </c>
      <c r="CK131" s="12" t="s">
        <v>1497</v>
      </c>
      <c r="CL131" s="12" t="s">
        <v>1502</v>
      </c>
      <c r="CM131" s="12" t="s">
        <v>1460</v>
      </c>
      <c r="CN131" s="12" t="s">
        <v>1460</v>
      </c>
      <c r="CO131" s="12" t="s">
        <v>1463</v>
      </c>
      <c r="CP131" s="12" t="s">
        <v>1497</v>
      </c>
      <c r="CQ131" s="12" t="s">
        <v>1460</v>
      </c>
      <c r="CS131" s="12" t="s">
        <v>1430</v>
      </c>
      <c r="CT131" s="12" t="s">
        <v>1430</v>
      </c>
      <c r="CU131" s="12" t="s">
        <v>1430</v>
      </c>
      <c r="CV131" s="12" t="s">
        <v>1430</v>
      </c>
      <c r="CX131" s="12" t="s">
        <v>1470</v>
      </c>
      <c r="CY131" s="12" t="s">
        <v>1503</v>
      </c>
      <c r="CZ131" s="12" t="s">
        <v>1503</v>
      </c>
      <c r="DA131" s="12" t="s">
        <v>1430</v>
      </c>
      <c r="DB131" s="12" t="s">
        <v>1504</v>
      </c>
      <c r="DC131" s="12" t="s">
        <v>1505</v>
      </c>
      <c r="DD131" s="12" t="s">
        <v>1506</v>
      </c>
      <c r="DF131" s="12">
        <v>3</v>
      </c>
      <c r="DQ131" s="35">
        <v>128</v>
      </c>
      <c r="DR131" s="32">
        <v>83</v>
      </c>
      <c r="DS131" s="73">
        <v>109</v>
      </c>
      <c r="DT131" s="71">
        <v>25</v>
      </c>
      <c r="DU131" s="21">
        <v>193</v>
      </c>
      <c r="DV131" s="31">
        <f t="shared" ref="DV131:DV194" si="154">HLOOKUP($B$154,$DZ$1:$EZ$202,$EZ130,0)</f>
        <v>228</v>
      </c>
      <c r="DW131" s="30">
        <f t="shared" si="148"/>
        <v>444</v>
      </c>
      <c r="DX131" s="36">
        <v>25</v>
      </c>
      <c r="DY131" s="23">
        <v>154</v>
      </c>
      <c r="DZ131" s="12">
        <v>129</v>
      </c>
      <c r="EA131" s="12">
        <f t="shared" si="122"/>
        <v>517</v>
      </c>
      <c r="EB131" s="12">
        <f t="shared" si="123"/>
        <v>586</v>
      </c>
      <c r="EC131" s="12">
        <f t="shared" si="124"/>
        <v>576</v>
      </c>
      <c r="ED131" s="12">
        <f t="shared" si="125"/>
        <v>457</v>
      </c>
      <c r="EE131" s="12">
        <f t="shared" si="126"/>
        <v>348</v>
      </c>
      <c r="EF131" s="12">
        <f t="shared" si="127"/>
        <v>249</v>
      </c>
      <c r="EG131" s="12">
        <f t="shared" si="128"/>
        <v>239</v>
      </c>
      <c r="EH131" s="12">
        <f t="shared" si="129"/>
        <v>239</v>
      </c>
      <c r="EI131" s="12">
        <f t="shared" si="130"/>
        <v>229</v>
      </c>
      <c r="EJ131" s="12">
        <f t="shared" si="131"/>
        <v>219</v>
      </c>
      <c r="EK131" s="12">
        <f t="shared" si="132"/>
        <v>447</v>
      </c>
      <c r="EL131" s="12">
        <f t="shared" si="133"/>
        <v>239</v>
      </c>
      <c r="EM131" s="12">
        <f t="shared" si="134"/>
        <v>229</v>
      </c>
      <c r="EN131" s="12">
        <f t="shared" si="135"/>
        <v>328</v>
      </c>
      <c r="EO131" s="12">
        <f t="shared" si="136"/>
        <v>219</v>
      </c>
      <c r="EP131" s="12">
        <f t="shared" si="137"/>
        <v>209</v>
      </c>
      <c r="EQ131" s="12">
        <f t="shared" si="138"/>
        <v>199</v>
      </c>
      <c r="ER131" s="12">
        <f t="shared" si="139"/>
        <v>318</v>
      </c>
      <c r="ES131" s="12">
        <f t="shared" si="140"/>
        <v>298</v>
      </c>
      <c r="ET131" s="12">
        <f t="shared" si="141"/>
        <v>189</v>
      </c>
      <c r="EU131" s="12">
        <f t="shared" si="142"/>
        <v>288</v>
      </c>
      <c r="EV131" s="12">
        <f t="shared" si="143"/>
        <v>189</v>
      </c>
      <c r="EW131" s="12">
        <f t="shared" si="144"/>
        <v>169</v>
      </c>
      <c r="EX131" s="12">
        <f t="shared" si="145"/>
        <v>159</v>
      </c>
      <c r="EY131" s="12">
        <f t="shared" si="146"/>
        <v>139</v>
      </c>
      <c r="EZ131" s="12">
        <v>131</v>
      </c>
    </row>
    <row r="132" spans="1:156" ht="13.35" customHeight="1" x14ac:dyDescent="0.2">
      <c r="A132" s="21">
        <f t="shared" si="153"/>
        <v>131</v>
      </c>
      <c r="B132" s="22">
        <f t="shared" si="149"/>
        <v>72</v>
      </c>
      <c r="C132" s="21">
        <f t="shared" si="151"/>
        <v>1771</v>
      </c>
      <c r="F132" s="12" t="s">
        <v>1430</v>
      </c>
      <c r="G132" s="12" t="s">
        <v>1430</v>
      </c>
      <c r="H132" s="12" t="s">
        <v>1430</v>
      </c>
      <c r="I132" s="12" t="s">
        <v>1430</v>
      </c>
      <c r="J132" s="12" t="s">
        <v>1430</v>
      </c>
      <c r="K132" s="12" t="s">
        <v>1510</v>
      </c>
      <c r="L132" s="12" t="s">
        <v>1511</v>
      </c>
      <c r="M132" s="12" t="s">
        <v>1499</v>
      </c>
      <c r="N132" s="12" t="s">
        <v>1512</v>
      </c>
      <c r="O132" s="12" t="s">
        <v>1513</v>
      </c>
      <c r="P132" s="12" t="s">
        <v>1514</v>
      </c>
      <c r="Q132" s="12" t="s">
        <v>1515</v>
      </c>
      <c r="R132" s="12" t="s">
        <v>656</v>
      </c>
      <c r="S132" s="12" t="s">
        <v>1516</v>
      </c>
      <c r="T132" s="12" t="s">
        <v>1517</v>
      </c>
      <c r="U132" s="12" t="s">
        <v>1518</v>
      </c>
      <c r="V132" s="12" t="s">
        <v>1519</v>
      </c>
      <c r="W132" s="12" t="s">
        <v>1520</v>
      </c>
      <c r="X132" s="12" t="s">
        <v>1521</v>
      </c>
      <c r="Y132" s="12" t="s">
        <v>1522</v>
      </c>
      <c r="AA132" s="12" t="s">
        <v>1523</v>
      </c>
      <c r="AB132" s="12" t="s">
        <v>1524</v>
      </c>
      <c r="AC132" s="12" t="s">
        <v>1525</v>
      </c>
      <c r="AD132" s="12" t="s">
        <v>1526</v>
      </c>
      <c r="AF132" s="12" t="s">
        <v>1527</v>
      </c>
      <c r="AG132" s="12" t="s">
        <v>1528</v>
      </c>
      <c r="AH132" s="12" t="s">
        <v>1529</v>
      </c>
      <c r="AJ132" s="12" t="s">
        <v>1530</v>
      </c>
      <c r="AK132" s="12" t="s">
        <v>1531</v>
      </c>
      <c r="AL132" s="12" t="s">
        <v>1532</v>
      </c>
      <c r="AM132" s="12" t="s">
        <v>1533</v>
      </c>
      <c r="AO132" s="12" t="s">
        <v>1534</v>
      </c>
      <c r="AP132" s="12" t="s">
        <v>1535</v>
      </c>
      <c r="AQ132" s="12" t="s">
        <v>1536</v>
      </c>
      <c r="AS132" s="12" t="s">
        <v>1537</v>
      </c>
      <c r="AT132" s="12" t="s">
        <v>1463</v>
      </c>
      <c r="AU132" s="12" t="s">
        <v>1462</v>
      </c>
      <c r="AV132" s="12" t="s">
        <v>1498</v>
      </c>
      <c r="AW132" s="12" t="s">
        <v>1499</v>
      </c>
      <c r="AX132" s="12" t="s">
        <v>1461</v>
      </c>
      <c r="AY132" s="12" t="s">
        <v>1460</v>
      </c>
      <c r="AZ132" s="12" t="s">
        <v>1498</v>
      </c>
      <c r="BA132" s="12" t="s">
        <v>1460</v>
      </c>
      <c r="BB132" s="12" t="s">
        <v>1461</v>
      </c>
      <c r="BC132" s="12" t="s">
        <v>1461</v>
      </c>
      <c r="BD132" s="12" t="s">
        <v>1461</v>
      </c>
      <c r="BE132" s="12" t="s">
        <v>1538</v>
      </c>
      <c r="BF132" s="12" t="s">
        <v>1498</v>
      </c>
      <c r="BG132" s="12" t="s">
        <v>1460</v>
      </c>
      <c r="BH132" s="12" t="s">
        <v>1499</v>
      </c>
      <c r="BI132" s="12" t="s">
        <v>1498</v>
      </c>
      <c r="BJ132" s="12" t="s">
        <v>1461</v>
      </c>
      <c r="BK132" s="12" t="s">
        <v>1539</v>
      </c>
      <c r="BL132" s="12" t="s">
        <v>1461</v>
      </c>
      <c r="BM132" s="12" t="s">
        <v>1540</v>
      </c>
      <c r="BN132" s="12" t="s">
        <v>1541</v>
      </c>
      <c r="BO132" s="12" t="s">
        <v>1463</v>
      </c>
      <c r="BP132" s="12" t="s">
        <v>1539</v>
      </c>
      <c r="BQ132" s="12" t="s">
        <v>1498</v>
      </c>
      <c r="BR132" s="12" t="s">
        <v>1461</v>
      </c>
      <c r="BS132" s="12" t="s">
        <v>1461</v>
      </c>
      <c r="BT132" s="12" t="s">
        <v>1541</v>
      </c>
      <c r="BU132" s="12" t="s">
        <v>1541</v>
      </c>
      <c r="BV132" s="12" t="s">
        <v>1462</v>
      </c>
      <c r="BW132" s="12" t="s">
        <v>1541</v>
      </c>
      <c r="BX132" s="12" t="s">
        <v>1463</v>
      </c>
      <c r="BY132" s="12" t="s">
        <v>1462</v>
      </c>
      <c r="BZ132" s="12" t="s">
        <v>1542</v>
      </c>
      <c r="CA132" s="12" t="s">
        <v>1460</v>
      </c>
      <c r="CB132" s="12" t="s">
        <v>1463</v>
      </c>
      <c r="CC132" s="12" t="s">
        <v>1541</v>
      </c>
      <c r="CD132" s="12" t="s">
        <v>1541</v>
      </c>
      <c r="CE132" s="12" t="s">
        <v>1543</v>
      </c>
      <c r="CF132" s="12" t="s">
        <v>1543</v>
      </c>
      <c r="CG132" s="12" t="s">
        <v>1542</v>
      </c>
      <c r="CH132" s="12" t="s">
        <v>1498</v>
      </c>
      <c r="CI132" s="12" t="s">
        <v>1543</v>
      </c>
      <c r="CJ132" s="12" t="s">
        <v>1502</v>
      </c>
      <c r="CK132" s="12" t="s">
        <v>1539</v>
      </c>
      <c r="CL132" s="12" t="s">
        <v>1499</v>
      </c>
      <c r="CM132" s="12" t="s">
        <v>1500</v>
      </c>
      <c r="CN132" s="12" t="s">
        <v>1497</v>
      </c>
      <c r="CO132" s="12" t="s">
        <v>1497</v>
      </c>
      <c r="CP132" s="12" t="s">
        <v>1498</v>
      </c>
      <c r="CQ132" s="12" t="s">
        <v>1462</v>
      </c>
      <c r="CS132" s="12" t="s">
        <v>1430</v>
      </c>
      <c r="CT132" s="12" t="s">
        <v>1430</v>
      </c>
      <c r="CU132" s="12" t="s">
        <v>1430</v>
      </c>
      <c r="CV132" s="12" t="s">
        <v>1430</v>
      </c>
      <c r="CX132" s="12" t="s">
        <v>1512</v>
      </c>
      <c r="CY132" s="12" t="s">
        <v>1544</v>
      </c>
      <c r="CZ132" s="12" t="s">
        <v>1545</v>
      </c>
      <c r="DA132" s="12" t="s">
        <v>1430</v>
      </c>
      <c r="DB132" s="12" t="s">
        <v>1546</v>
      </c>
      <c r="DC132" s="12" t="s">
        <v>1547</v>
      </c>
      <c r="DD132" s="12" t="s">
        <v>1548</v>
      </c>
      <c r="DF132" s="12">
        <v>4</v>
      </c>
      <c r="DQ132" s="35">
        <v>129</v>
      </c>
      <c r="DR132" s="32">
        <v>84</v>
      </c>
      <c r="DS132" s="73">
        <v>109.5</v>
      </c>
      <c r="DT132" s="71">
        <v>25</v>
      </c>
      <c r="DU132" s="21">
        <v>194</v>
      </c>
      <c r="DV132" s="31">
        <f t="shared" si="154"/>
        <v>229</v>
      </c>
      <c r="DW132" s="30">
        <f t="shared" ref="DW132:DW163" si="155">HLOOKUP($B$155,$DZ$1:$FA$202,$EZ131,0)</f>
        <v>447</v>
      </c>
      <c r="DX132" s="36">
        <v>25</v>
      </c>
      <c r="DY132" s="23">
        <v>154.5</v>
      </c>
      <c r="DZ132" s="20">
        <v>130</v>
      </c>
      <c r="EA132" s="12">
        <f t="shared" si="122"/>
        <v>520</v>
      </c>
      <c r="EB132" s="12">
        <f t="shared" si="123"/>
        <v>590</v>
      </c>
      <c r="EC132" s="12">
        <f t="shared" si="124"/>
        <v>580</v>
      </c>
      <c r="ED132" s="12">
        <f t="shared" si="125"/>
        <v>460</v>
      </c>
      <c r="EE132" s="12">
        <f t="shared" si="126"/>
        <v>350</v>
      </c>
      <c r="EF132" s="12">
        <f t="shared" si="127"/>
        <v>250</v>
      </c>
      <c r="EG132" s="12">
        <f t="shared" si="128"/>
        <v>240</v>
      </c>
      <c r="EH132" s="12">
        <f t="shared" si="129"/>
        <v>240</v>
      </c>
      <c r="EI132" s="12">
        <f t="shared" si="130"/>
        <v>230</v>
      </c>
      <c r="EJ132" s="12">
        <f t="shared" si="131"/>
        <v>220</v>
      </c>
      <c r="EK132" s="12">
        <f t="shared" si="132"/>
        <v>450</v>
      </c>
      <c r="EL132" s="12">
        <f t="shared" si="133"/>
        <v>240</v>
      </c>
      <c r="EM132" s="12">
        <f t="shared" si="134"/>
        <v>230</v>
      </c>
      <c r="EN132" s="12">
        <f t="shared" si="135"/>
        <v>330</v>
      </c>
      <c r="EO132" s="12">
        <f t="shared" si="136"/>
        <v>220</v>
      </c>
      <c r="EP132" s="12">
        <f t="shared" si="137"/>
        <v>210</v>
      </c>
      <c r="EQ132" s="12">
        <f t="shared" si="138"/>
        <v>200</v>
      </c>
      <c r="ER132" s="12">
        <f t="shared" si="139"/>
        <v>320</v>
      </c>
      <c r="ES132" s="12">
        <f t="shared" si="140"/>
        <v>300</v>
      </c>
      <c r="ET132" s="12">
        <f t="shared" si="141"/>
        <v>190</v>
      </c>
      <c r="EU132" s="12">
        <f t="shared" si="142"/>
        <v>290</v>
      </c>
      <c r="EV132" s="12">
        <f t="shared" si="143"/>
        <v>190</v>
      </c>
      <c r="EW132" s="12">
        <f t="shared" si="144"/>
        <v>170</v>
      </c>
      <c r="EX132" s="12">
        <f t="shared" si="145"/>
        <v>160</v>
      </c>
      <c r="EY132" s="12">
        <f t="shared" si="146"/>
        <v>140</v>
      </c>
      <c r="EZ132" s="20">
        <v>132</v>
      </c>
    </row>
    <row r="133" spans="1:156" ht="13.35" customHeight="1" x14ac:dyDescent="0.2">
      <c r="A133" s="21">
        <f t="shared" si="153"/>
        <v>132</v>
      </c>
      <c r="B133" s="22">
        <f t="shared" si="149"/>
        <v>74</v>
      </c>
      <c r="C133" s="21">
        <f t="shared" si="151"/>
        <v>1854</v>
      </c>
      <c r="F133" s="12" t="s">
        <v>1430</v>
      </c>
      <c r="G133" s="12" t="s">
        <v>1430</v>
      </c>
      <c r="H133" s="12" t="s">
        <v>1430</v>
      </c>
      <c r="I133" s="12" t="s">
        <v>1430</v>
      </c>
      <c r="J133" s="12" t="s">
        <v>1430</v>
      </c>
      <c r="K133" s="12" t="s">
        <v>1549</v>
      </c>
      <c r="L133" s="12" t="s">
        <v>1550</v>
      </c>
      <c r="M133" s="12" t="s">
        <v>1496</v>
      </c>
      <c r="N133" s="12" t="s">
        <v>1551</v>
      </c>
      <c r="O133" s="12" t="s">
        <v>1552</v>
      </c>
      <c r="P133" s="12" t="s">
        <v>1553</v>
      </c>
      <c r="Q133" s="12" t="s">
        <v>1554</v>
      </c>
      <c r="R133" s="12" t="s">
        <v>1555</v>
      </c>
      <c r="S133" s="12" t="s">
        <v>1556</v>
      </c>
      <c r="T133" s="12" t="s">
        <v>1557</v>
      </c>
      <c r="U133" s="12" t="s">
        <v>1558</v>
      </c>
      <c r="V133" s="12" t="s">
        <v>1559</v>
      </c>
      <c r="W133" s="12" t="s">
        <v>1560</v>
      </c>
      <c r="X133" s="12" t="s">
        <v>1561</v>
      </c>
      <c r="Y133" s="12" t="s">
        <v>1562</v>
      </c>
      <c r="AA133" s="12" t="s">
        <v>1563</v>
      </c>
      <c r="AB133" s="12" t="s">
        <v>1564</v>
      </c>
      <c r="AC133" s="12" t="s">
        <v>1565</v>
      </c>
      <c r="AD133" s="12" t="s">
        <v>1566</v>
      </c>
      <c r="AF133" s="12" t="s">
        <v>1567</v>
      </c>
      <c r="AG133" s="12" t="s">
        <v>1568</v>
      </c>
      <c r="AH133" s="12" t="s">
        <v>1569</v>
      </c>
      <c r="AJ133" s="12" t="s">
        <v>1570</v>
      </c>
      <c r="AK133" s="12" t="s">
        <v>1571</v>
      </c>
      <c r="AL133" s="12" t="s">
        <v>1572</v>
      </c>
      <c r="AM133" s="12" t="s">
        <v>1573</v>
      </c>
      <c r="AO133" s="12" t="s">
        <v>1574</v>
      </c>
      <c r="AP133" s="12" t="s">
        <v>1575</v>
      </c>
      <c r="AQ133" s="12" t="s">
        <v>1576</v>
      </c>
      <c r="AS133" s="12" t="s">
        <v>1496</v>
      </c>
      <c r="AT133" s="12" t="s">
        <v>1462</v>
      </c>
      <c r="AU133" s="12" t="s">
        <v>1461</v>
      </c>
      <c r="AV133" s="12" t="s">
        <v>1496</v>
      </c>
      <c r="AW133" s="12" t="s">
        <v>1577</v>
      </c>
      <c r="AX133" s="12" t="s">
        <v>1496</v>
      </c>
      <c r="AY133" s="12" t="s">
        <v>1462</v>
      </c>
      <c r="AZ133" s="12" t="s">
        <v>1543</v>
      </c>
      <c r="BA133" s="12" t="s">
        <v>1543</v>
      </c>
      <c r="BB133" s="12" t="s">
        <v>1496</v>
      </c>
      <c r="BC133" s="12" t="s">
        <v>1496</v>
      </c>
      <c r="BD133" s="12" t="s">
        <v>1496</v>
      </c>
      <c r="BE133" s="12" t="s">
        <v>1537</v>
      </c>
      <c r="BF133" s="12" t="s">
        <v>1537</v>
      </c>
      <c r="BG133" s="12" t="s">
        <v>1463</v>
      </c>
      <c r="BH133" s="12" t="s">
        <v>1461</v>
      </c>
      <c r="BI133" s="12" t="s">
        <v>1502</v>
      </c>
      <c r="BJ133" s="12" t="s">
        <v>1496</v>
      </c>
      <c r="BK133" s="12" t="s">
        <v>1541</v>
      </c>
      <c r="BL133" s="12" t="s">
        <v>1496</v>
      </c>
      <c r="BM133" s="12" t="s">
        <v>1496</v>
      </c>
      <c r="BN133" s="12" t="s">
        <v>1498</v>
      </c>
      <c r="BO133" s="12" t="s">
        <v>1461</v>
      </c>
      <c r="BP133" s="12" t="s">
        <v>1542</v>
      </c>
      <c r="BQ133" s="12" t="s">
        <v>1461</v>
      </c>
      <c r="BR133" s="12" t="s">
        <v>1496</v>
      </c>
      <c r="BS133" s="12" t="s">
        <v>1496</v>
      </c>
      <c r="BT133" s="12" t="s">
        <v>1461</v>
      </c>
      <c r="BU133" s="12" t="s">
        <v>1498</v>
      </c>
      <c r="BV133" s="12" t="s">
        <v>1497</v>
      </c>
      <c r="BW133" s="12" t="s">
        <v>1461</v>
      </c>
      <c r="BX133" s="12" t="s">
        <v>1498</v>
      </c>
      <c r="BY133" s="12" t="s">
        <v>1498</v>
      </c>
      <c r="BZ133" s="12" t="s">
        <v>1537</v>
      </c>
      <c r="CA133" s="12" t="s">
        <v>1498</v>
      </c>
      <c r="CB133" s="12" t="s">
        <v>1498</v>
      </c>
      <c r="CC133" s="12" t="s">
        <v>1461</v>
      </c>
      <c r="CD133" s="12" t="s">
        <v>1543</v>
      </c>
      <c r="CE133" s="12" t="s">
        <v>1539</v>
      </c>
      <c r="CF133" s="12" t="s">
        <v>1498</v>
      </c>
      <c r="CG133" s="12" t="s">
        <v>1537</v>
      </c>
      <c r="CH133" s="12" t="s">
        <v>1502</v>
      </c>
      <c r="CI133" s="12" t="s">
        <v>1539</v>
      </c>
      <c r="CJ133" s="12" t="s">
        <v>1499</v>
      </c>
      <c r="CK133" s="12" t="s">
        <v>1502</v>
      </c>
      <c r="CL133" s="12" t="s">
        <v>1496</v>
      </c>
      <c r="CM133" s="12" t="s">
        <v>1502</v>
      </c>
      <c r="CN133" s="12" t="s">
        <v>1502</v>
      </c>
      <c r="CO133" s="12" t="s">
        <v>1539</v>
      </c>
      <c r="CP133" s="12" t="s">
        <v>1542</v>
      </c>
      <c r="CQ133" s="12" t="s">
        <v>1578</v>
      </c>
      <c r="CS133" s="12" t="s">
        <v>1430</v>
      </c>
      <c r="CT133" s="12" t="s">
        <v>1430</v>
      </c>
      <c r="CU133" s="12" t="s">
        <v>1430</v>
      </c>
      <c r="CV133" s="12" t="s">
        <v>1430</v>
      </c>
      <c r="CX133" s="12" t="s">
        <v>1579</v>
      </c>
      <c r="CY133" s="12" t="s">
        <v>1580</v>
      </c>
      <c r="CZ133" s="12" t="s">
        <v>1544</v>
      </c>
      <c r="DA133" s="12" t="s">
        <v>1430</v>
      </c>
      <c r="DB133" s="12" t="s">
        <v>1581</v>
      </c>
      <c r="DC133" s="12" t="s">
        <v>1582</v>
      </c>
      <c r="DD133" s="12" t="s">
        <v>1583</v>
      </c>
      <c r="DF133" s="12">
        <v>5</v>
      </c>
      <c r="DQ133" s="35">
        <v>130</v>
      </c>
      <c r="DR133" s="32">
        <v>84</v>
      </c>
      <c r="DS133" s="73">
        <v>110</v>
      </c>
      <c r="DT133" s="71">
        <v>25</v>
      </c>
      <c r="DU133" s="21">
        <v>195</v>
      </c>
      <c r="DV133" s="31">
        <f t="shared" si="154"/>
        <v>230</v>
      </c>
      <c r="DW133" s="30">
        <f t="shared" si="155"/>
        <v>450</v>
      </c>
      <c r="DX133" s="36">
        <v>25</v>
      </c>
      <c r="DY133" s="23">
        <v>155</v>
      </c>
      <c r="DZ133" s="12">
        <v>131</v>
      </c>
      <c r="EA133" s="12">
        <f t="shared" si="122"/>
        <v>523</v>
      </c>
      <c r="EB133" s="12">
        <f t="shared" si="123"/>
        <v>594</v>
      </c>
      <c r="EC133" s="12">
        <f t="shared" si="124"/>
        <v>584</v>
      </c>
      <c r="ED133" s="12">
        <f t="shared" si="125"/>
        <v>463</v>
      </c>
      <c r="EE133" s="12">
        <f t="shared" si="126"/>
        <v>352</v>
      </c>
      <c r="EF133" s="12">
        <f t="shared" si="127"/>
        <v>251</v>
      </c>
      <c r="EG133" s="12">
        <f t="shared" si="128"/>
        <v>241</v>
      </c>
      <c r="EH133" s="12">
        <f t="shared" si="129"/>
        <v>241</v>
      </c>
      <c r="EI133" s="12">
        <f t="shared" si="130"/>
        <v>231</v>
      </c>
      <c r="EJ133" s="12">
        <f t="shared" si="131"/>
        <v>221</v>
      </c>
      <c r="EK133" s="12">
        <f t="shared" si="132"/>
        <v>453</v>
      </c>
      <c r="EL133" s="12">
        <f t="shared" si="133"/>
        <v>241</v>
      </c>
      <c r="EM133" s="12">
        <f t="shared" si="134"/>
        <v>231</v>
      </c>
      <c r="EN133" s="12">
        <f t="shared" si="135"/>
        <v>332</v>
      </c>
      <c r="EO133" s="12">
        <f t="shared" si="136"/>
        <v>221</v>
      </c>
      <c r="EP133" s="12">
        <f t="shared" si="137"/>
        <v>211</v>
      </c>
      <c r="EQ133" s="12">
        <f t="shared" si="138"/>
        <v>201</v>
      </c>
      <c r="ER133" s="12">
        <f t="shared" si="139"/>
        <v>322</v>
      </c>
      <c r="ES133" s="12">
        <f t="shared" si="140"/>
        <v>302</v>
      </c>
      <c r="ET133" s="12">
        <f t="shared" si="141"/>
        <v>191</v>
      </c>
      <c r="EU133" s="12">
        <f t="shared" si="142"/>
        <v>292</v>
      </c>
      <c r="EV133" s="12">
        <f t="shared" si="143"/>
        <v>191</v>
      </c>
      <c r="EW133" s="12">
        <f t="shared" si="144"/>
        <v>171</v>
      </c>
      <c r="EX133" s="12">
        <f t="shared" si="145"/>
        <v>161</v>
      </c>
      <c r="EY133" s="12">
        <f t="shared" si="146"/>
        <v>141</v>
      </c>
      <c r="EZ133" s="12">
        <v>133</v>
      </c>
    </row>
    <row r="134" spans="1:156" ht="13.35" customHeight="1" x14ac:dyDescent="0.2">
      <c r="A134" s="21">
        <f t="shared" si="153"/>
        <v>133</v>
      </c>
      <c r="B134" s="22">
        <f t="shared" ref="B134:B151" si="156">ROUND((A134-95)*2,0)</f>
        <v>76</v>
      </c>
      <c r="C134" s="21">
        <f t="shared" si="151"/>
        <v>1939</v>
      </c>
      <c r="F134" s="12" t="s">
        <v>1430</v>
      </c>
      <c r="G134" s="12" t="s">
        <v>1430</v>
      </c>
      <c r="H134" s="12" t="s">
        <v>1430</v>
      </c>
      <c r="I134" s="12" t="s">
        <v>1430</v>
      </c>
      <c r="J134" s="12" t="s">
        <v>1430</v>
      </c>
      <c r="K134" s="12" t="s">
        <v>1587</v>
      </c>
      <c r="L134" s="12" t="s">
        <v>1588</v>
      </c>
      <c r="M134" s="12" t="s">
        <v>1577</v>
      </c>
      <c r="N134" s="12" t="s">
        <v>1589</v>
      </c>
      <c r="O134" s="12" t="s">
        <v>229</v>
      </c>
      <c r="P134" s="12" t="s">
        <v>1590</v>
      </c>
      <c r="Q134" s="12" t="s">
        <v>1591</v>
      </c>
      <c r="R134" s="12" t="s">
        <v>1592</v>
      </c>
      <c r="S134" s="12" t="s">
        <v>1593</v>
      </c>
      <c r="T134" s="12" t="s">
        <v>1594</v>
      </c>
      <c r="U134" s="12" t="s">
        <v>1595</v>
      </c>
      <c r="V134" s="12" t="s">
        <v>1596</v>
      </c>
      <c r="W134" s="12" t="s">
        <v>1597</v>
      </c>
      <c r="X134" s="12" t="s">
        <v>1598</v>
      </c>
      <c r="Y134" s="12" t="s">
        <v>1599</v>
      </c>
      <c r="AA134" s="12" t="s">
        <v>1600</v>
      </c>
      <c r="AB134" s="12" t="s">
        <v>1601</v>
      </c>
      <c r="AD134" s="12" t="s">
        <v>1602</v>
      </c>
      <c r="AF134" s="12" t="s">
        <v>1603</v>
      </c>
      <c r="AG134" s="12" t="s">
        <v>1604</v>
      </c>
      <c r="AH134" s="12" t="s">
        <v>1605</v>
      </c>
      <c r="AJ134" s="12" t="s">
        <v>1606</v>
      </c>
      <c r="AK134" s="12" t="s">
        <v>1607</v>
      </c>
      <c r="AL134" s="12" t="s">
        <v>1608</v>
      </c>
      <c r="AM134" s="12" t="s">
        <v>1609</v>
      </c>
      <c r="AO134" s="12" t="s">
        <v>1610</v>
      </c>
      <c r="AP134" s="12" t="s">
        <v>1611</v>
      </c>
      <c r="AQ134" s="12" t="s">
        <v>1612</v>
      </c>
      <c r="AS134" s="12" t="s">
        <v>1613</v>
      </c>
      <c r="AT134" s="12" t="s">
        <v>1499</v>
      </c>
      <c r="AU134" s="12" t="s">
        <v>1613</v>
      </c>
      <c r="AV134" s="12" t="s">
        <v>1614</v>
      </c>
      <c r="AW134" s="12" t="s">
        <v>1614</v>
      </c>
      <c r="AX134" s="12" t="s">
        <v>1577</v>
      </c>
      <c r="AY134" s="12" t="s">
        <v>1496</v>
      </c>
      <c r="AZ134" s="12" t="s">
        <v>1496</v>
      </c>
      <c r="BA134" s="12" t="s">
        <v>1461</v>
      </c>
      <c r="BB134" s="12" t="s">
        <v>1577</v>
      </c>
      <c r="BC134" s="12" t="s">
        <v>1577</v>
      </c>
      <c r="BD134" s="12" t="s">
        <v>1577</v>
      </c>
      <c r="BE134" s="12" t="s">
        <v>1496</v>
      </c>
      <c r="BF134" s="12" t="s">
        <v>1496</v>
      </c>
      <c r="BG134" s="12" t="s">
        <v>1496</v>
      </c>
      <c r="BH134" s="12" t="s">
        <v>1496</v>
      </c>
      <c r="BI134" s="12" t="s">
        <v>1461</v>
      </c>
      <c r="BJ134" s="12" t="s">
        <v>1613</v>
      </c>
      <c r="BK134" s="12" t="s">
        <v>1499</v>
      </c>
      <c r="BL134" s="12" t="s">
        <v>1577</v>
      </c>
      <c r="BM134" s="12" t="s">
        <v>1613</v>
      </c>
      <c r="BN134" s="12" t="s">
        <v>1502</v>
      </c>
      <c r="BO134" s="12" t="s">
        <v>1577</v>
      </c>
      <c r="BP134" s="12" t="s">
        <v>1502</v>
      </c>
      <c r="BQ134" s="12" t="s">
        <v>1496</v>
      </c>
      <c r="BR134" s="12" t="s">
        <v>1577</v>
      </c>
      <c r="BS134" s="12" t="s">
        <v>1577</v>
      </c>
      <c r="BT134" s="12" t="s">
        <v>1496</v>
      </c>
      <c r="BU134" s="12" t="s">
        <v>1461</v>
      </c>
      <c r="BV134" s="12" t="s">
        <v>1498</v>
      </c>
      <c r="BW134" s="12" t="s">
        <v>1496</v>
      </c>
      <c r="BX134" s="12" t="s">
        <v>1461</v>
      </c>
      <c r="BY134" s="12" t="s">
        <v>1577</v>
      </c>
      <c r="BZ134" s="12" t="s">
        <v>1496</v>
      </c>
      <c r="CA134" s="12" t="s">
        <v>1461</v>
      </c>
      <c r="CB134" s="12" t="s">
        <v>1461</v>
      </c>
      <c r="CC134" s="12" t="s">
        <v>1496</v>
      </c>
      <c r="CD134" s="12" t="s">
        <v>1496</v>
      </c>
      <c r="CE134" s="12" t="s">
        <v>1461</v>
      </c>
      <c r="CF134" s="12" t="s">
        <v>1461</v>
      </c>
      <c r="CG134" s="12" t="s">
        <v>1496</v>
      </c>
      <c r="CH134" s="12" t="s">
        <v>1496</v>
      </c>
      <c r="CI134" s="12" t="s">
        <v>1502</v>
      </c>
      <c r="CJ134" s="12" t="s">
        <v>1496</v>
      </c>
      <c r="CK134" s="12" t="s">
        <v>1537</v>
      </c>
      <c r="CL134" s="12" t="s">
        <v>1577</v>
      </c>
      <c r="CM134" s="12" t="s">
        <v>1461</v>
      </c>
      <c r="CN134" s="12" t="s">
        <v>1496</v>
      </c>
      <c r="CO134" s="12" t="s">
        <v>1502</v>
      </c>
      <c r="CP134" s="12" t="s">
        <v>1537</v>
      </c>
      <c r="CQ134" s="12" t="s">
        <v>1502</v>
      </c>
      <c r="CS134" s="12" t="s">
        <v>1430</v>
      </c>
      <c r="CT134" s="12" t="s">
        <v>1430</v>
      </c>
      <c r="CU134" s="12" t="s">
        <v>1430</v>
      </c>
      <c r="CV134" s="12" t="s">
        <v>1430</v>
      </c>
      <c r="CX134" s="12" t="s">
        <v>1589</v>
      </c>
      <c r="CY134" s="12" t="s">
        <v>1615</v>
      </c>
      <c r="CZ134" s="12" t="s">
        <v>1616</v>
      </c>
      <c r="DA134" s="12" t="s">
        <v>1430</v>
      </c>
      <c r="DB134" s="12" t="s">
        <v>1617</v>
      </c>
      <c r="DC134" s="12" t="s">
        <v>1618</v>
      </c>
      <c r="DD134" s="12" t="s">
        <v>1619</v>
      </c>
      <c r="DF134" s="12">
        <v>6</v>
      </c>
      <c r="DQ134" s="35">
        <v>131</v>
      </c>
      <c r="DR134" s="32">
        <v>85</v>
      </c>
      <c r="DS134" s="73">
        <v>110.5</v>
      </c>
      <c r="DT134" s="71">
        <v>25</v>
      </c>
      <c r="DU134" s="21">
        <v>196</v>
      </c>
      <c r="DV134" s="31">
        <f t="shared" si="154"/>
        <v>231</v>
      </c>
      <c r="DW134" s="30">
        <f t="shared" si="155"/>
        <v>453</v>
      </c>
      <c r="DX134" s="36">
        <v>25</v>
      </c>
      <c r="DY134" s="23">
        <v>155.5</v>
      </c>
      <c r="DZ134" s="12">
        <v>132</v>
      </c>
      <c r="EA134" s="12">
        <f t="shared" si="122"/>
        <v>526</v>
      </c>
      <c r="EB134" s="12">
        <f t="shared" si="123"/>
        <v>598</v>
      </c>
      <c r="EC134" s="12">
        <f t="shared" si="124"/>
        <v>588</v>
      </c>
      <c r="ED134" s="12">
        <f t="shared" si="125"/>
        <v>466</v>
      </c>
      <c r="EE134" s="12">
        <f t="shared" si="126"/>
        <v>354</v>
      </c>
      <c r="EF134" s="12">
        <f t="shared" si="127"/>
        <v>252</v>
      </c>
      <c r="EG134" s="12">
        <f t="shared" si="128"/>
        <v>242</v>
      </c>
      <c r="EH134" s="12">
        <f t="shared" si="129"/>
        <v>242</v>
      </c>
      <c r="EI134" s="12">
        <f t="shared" si="130"/>
        <v>232</v>
      </c>
      <c r="EJ134" s="12">
        <f t="shared" si="131"/>
        <v>222</v>
      </c>
      <c r="EK134" s="12">
        <f t="shared" si="132"/>
        <v>456</v>
      </c>
      <c r="EL134" s="12">
        <f t="shared" si="133"/>
        <v>242</v>
      </c>
      <c r="EM134" s="12">
        <f t="shared" si="134"/>
        <v>232</v>
      </c>
      <c r="EN134" s="12">
        <f t="shared" si="135"/>
        <v>334</v>
      </c>
      <c r="EO134" s="12">
        <f t="shared" si="136"/>
        <v>222</v>
      </c>
      <c r="EP134" s="12">
        <f t="shared" si="137"/>
        <v>212</v>
      </c>
      <c r="EQ134" s="12">
        <f t="shared" si="138"/>
        <v>202</v>
      </c>
      <c r="ER134" s="12">
        <f t="shared" si="139"/>
        <v>324</v>
      </c>
      <c r="ES134" s="12">
        <f t="shared" si="140"/>
        <v>304</v>
      </c>
      <c r="ET134" s="12">
        <f t="shared" si="141"/>
        <v>192</v>
      </c>
      <c r="EU134" s="12">
        <f t="shared" si="142"/>
        <v>294</v>
      </c>
      <c r="EV134" s="12">
        <f t="shared" si="143"/>
        <v>192</v>
      </c>
      <c r="EW134" s="12">
        <f t="shared" si="144"/>
        <v>172</v>
      </c>
      <c r="EX134" s="12">
        <f t="shared" si="145"/>
        <v>162</v>
      </c>
      <c r="EY134" s="12">
        <f t="shared" si="146"/>
        <v>142</v>
      </c>
      <c r="EZ134" s="12">
        <v>134</v>
      </c>
    </row>
    <row r="135" spans="1:156" ht="13.35" customHeight="1" x14ac:dyDescent="0.2">
      <c r="A135" s="21">
        <f t="shared" si="153"/>
        <v>134</v>
      </c>
      <c r="B135" s="22">
        <f t="shared" si="156"/>
        <v>78</v>
      </c>
      <c r="C135" s="21">
        <f t="shared" si="151"/>
        <v>2026</v>
      </c>
      <c r="F135" s="12" t="s">
        <v>1430</v>
      </c>
      <c r="G135" s="12" t="s">
        <v>1430</v>
      </c>
      <c r="H135" s="12" t="s">
        <v>1430</v>
      </c>
      <c r="I135" s="12" t="s">
        <v>1430</v>
      </c>
      <c r="J135" s="12" t="s">
        <v>1430</v>
      </c>
      <c r="K135" s="12" t="s">
        <v>1620</v>
      </c>
      <c r="L135" s="12" t="s">
        <v>1621</v>
      </c>
      <c r="M135" s="12" t="s">
        <v>1613</v>
      </c>
      <c r="N135" s="12" t="s">
        <v>1622</v>
      </c>
      <c r="O135" s="12" t="s">
        <v>1623</v>
      </c>
      <c r="P135" s="12" t="s">
        <v>1624</v>
      </c>
      <c r="Q135" s="12" t="s">
        <v>1625</v>
      </c>
      <c r="R135" s="12" t="s">
        <v>1626</v>
      </c>
      <c r="S135" s="12" t="s">
        <v>1627</v>
      </c>
      <c r="T135" s="12" t="s">
        <v>1628</v>
      </c>
      <c r="U135" s="12" t="s">
        <v>1629</v>
      </c>
      <c r="V135" s="12" t="s">
        <v>1630</v>
      </c>
      <c r="W135" s="12" t="s">
        <v>1631</v>
      </c>
      <c r="X135" s="12" t="s">
        <v>1632</v>
      </c>
      <c r="Y135" s="12" t="s">
        <v>1633</v>
      </c>
      <c r="AA135" s="12" t="s">
        <v>1634</v>
      </c>
      <c r="AB135" s="12" t="s">
        <v>1635</v>
      </c>
      <c r="AD135" s="12" t="s">
        <v>1636</v>
      </c>
      <c r="AF135" s="12" t="s">
        <v>1637</v>
      </c>
      <c r="AG135" s="12" t="s">
        <v>1638</v>
      </c>
      <c r="AH135" s="12" t="s">
        <v>1639</v>
      </c>
      <c r="AJ135" s="12" t="s">
        <v>1640</v>
      </c>
      <c r="AK135" s="12" t="s">
        <v>1641</v>
      </c>
      <c r="AL135" s="12" t="s">
        <v>1642</v>
      </c>
      <c r="AM135" s="12" t="s">
        <v>1643</v>
      </c>
      <c r="AO135" s="12" t="s">
        <v>1644</v>
      </c>
      <c r="AP135" s="12" t="s">
        <v>1645</v>
      </c>
      <c r="AQ135" s="12" t="s">
        <v>1646</v>
      </c>
      <c r="AS135" s="12" t="s">
        <v>1647</v>
      </c>
      <c r="AT135" s="12" t="s">
        <v>1624</v>
      </c>
      <c r="AU135" s="12" t="s">
        <v>1648</v>
      </c>
      <c r="AV135" s="12" t="s">
        <v>1613</v>
      </c>
      <c r="AW135" s="12" t="s">
        <v>1613</v>
      </c>
      <c r="AX135" s="12" t="s">
        <v>1613</v>
      </c>
      <c r="AY135" s="12" t="s">
        <v>1614</v>
      </c>
      <c r="AZ135" s="12" t="s">
        <v>1613</v>
      </c>
      <c r="BA135" s="12" t="s">
        <v>1613</v>
      </c>
      <c r="BB135" s="12" t="s">
        <v>1613</v>
      </c>
      <c r="BC135" s="12" t="s">
        <v>1613</v>
      </c>
      <c r="BD135" s="12" t="s">
        <v>1614</v>
      </c>
      <c r="BE135" s="12" t="s">
        <v>1613</v>
      </c>
      <c r="BF135" s="12" t="s">
        <v>1613</v>
      </c>
      <c r="BG135" s="12" t="s">
        <v>1613</v>
      </c>
      <c r="BH135" s="12" t="s">
        <v>1613</v>
      </c>
      <c r="BI135" s="12" t="s">
        <v>1496</v>
      </c>
      <c r="BJ135" s="12" t="s">
        <v>1645</v>
      </c>
      <c r="BK135" s="12" t="s">
        <v>1496</v>
      </c>
      <c r="BL135" s="12" t="s">
        <v>1613</v>
      </c>
      <c r="BM135" s="12" t="s">
        <v>1649</v>
      </c>
      <c r="BN135" s="12" t="s">
        <v>1499</v>
      </c>
      <c r="BO135" s="12" t="s">
        <v>1613</v>
      </c>
      <c r="BP135" s="12" t="s">
        <v>1549</v>
      </c>
      <c r="BQ135" s="12" t="s">
        <v>1613</v>
      </c>
      <c r="BR135" s="12" t="s">
        <v>1613</v>
      </c>
      <c r="BS135" s="12" t="s">
        <v>1613</v>
      </c>
      <c r="BT135" s="12" t="s">
        <v>1577</v>
      </c>
      <c r="BU135" s="12" t="s">
        <v>1496</v>
      </c>
      <c r="BV135" s="12" t="s">
        <v>1539</v>
      </c>
      <c r="BW135" s="12" t="s">
        <v>1613</v>
      </c>
      <c r="BX135" s="12" t="s">
        <v>1613</v>
      </c>
      <c r="BY135" s="12" t="s">
        <v>1613</v>
      </c>
      <c r="BZ135" s="12" t="s">
        <v>1577</v>
      </c>
      <c r="CA135" s="12" t="s">
        <v>1496</v>
      </c>
      <c r="CB135" s="12" t="s">
        <v>1496</v>
      </c>
      <c r="CC135" s="12" t="s">
        <v>1613</v>
      </c>
      <c r="CD135" s="12" t="s">
        <v>1613</v>
      </c>
      <c r="CE135" s="12" t="s">
        <v>1577</v>
      </c>
      <c r="CF135" s="12" t="s">
        <v>1496</v>
      </c>
      <c r="CG135" s="12" t="s">
        <v>1613</v>
      </c>
      <c r="CH135" s="12" t="s">
        <v>1614</v>
      </c>
      <c r="CI135" s="12" t="s">
        <v>1577</v>
      </c>
      <c r="CJ135" s="12" t="s">
        <v>1577</v>
      </c>
      <c r="CK135" s="12" t="s">
        <v>1496</v>
      </c>
      <c r="CL135" s="12" t="s">
        <v>1614</v>
      </c>
      <c r="CM135" s="12" t="s">
        <v>1496</v>
      </c>
      <c r="CN135" s="12" t="s">
        <v>1613</v>
      </c>
      <c r="CO135" s="12" t="s">
        <v>1496</v>
      </c>
      <c r="CP135" s="12" t="s">
        <v>1496</v>
      </c>
      <c r="CQ135" s="12" t="s">
        <v>1461</v>
      </c>
      <c r="CS135" s="12" t="s">
        <v>1430</v>
      </c>
      <c r="CT135" s="12" t="s">
        <v>1430</v>
      </c>
      <c r="CU135" s="12" t="s">
        <v>1430</v>
      </c>
      <c r="CV135" s="12" t="s">
        <v>1430</v>
      </c>
      <c r="CX135" s="12" t="s">
        <v>1622</v>
      </c>
      <c r="CY135" s="12" t="s">
        <v>1650</v>
      </c>
      <c r="CZ135" s="12" t="s">
        <v>1460</v>
      </c>
      <c r="DA135" s="12" t="s">
        <v>1430</v>
      </c>
      <c r="DB135" s="12" t="s">
        <v>1651</v>
      </c>
      <c r="DC135" s="12" t="s">
        <v>1652</v>
      </c>
      <c r="DD135" s="12" t="s">
        <v>1651</v>
      </c>
      <c r="DF135" s="12">
        <v>7</v>
      </c>
      <c r="DQ135" s="35">
        <v>132</v>
      </c>
      <c r="DR135" s="32">
        <v>85</v>
      </c>
      <c r="DS135" s="73">
        <v>111</v>
      </c>
      <c r="DT135" s="71">
        <v>25</v>
      </c>
      <c r="DU135" s="21">
        <v>197</v>
      </c>
      <c r="DV135" s="31">
        <f t="shared" si="154"/>
        <v>232</v>
      </c>
      <c r="DW135" s="30">
        <f t="shared" si="155"/>
        <v>456</v>
      </c>
      <c r="DX135" s="36">
        <v>25</v>
      </c>
      <c r="DY135" s="23">
        <v>156</v>
      </c>
      <c r="DZ135" s="12">
        <v>133</v>
      </c>
      <c r="EA135" s="12">
        <f t="shared" si="122"/>
        <v>529</v>
      </c>
      <c r="EB135" s="12">
        <f t="shared" si="123"/>
        <v>602</v>
      </c>
      <c r="EC135" s="12">
        <f t="shared" si="124"/>
        <v>592</v>
      </c>
      <c r="ED135" s="12">
        <f t="shared" si="125"/>
        <v>469</v>
      </c>
      <c r="EE135" s="12">
        <f t="shared" si="126"/>
        <v>356</v>
      </c>
      <c r="EF135" s="12">
        <f t="shared" si="127"/>
        <v>253</v>
      </c>
      <c r="EG135" s="12">
        <f t="shared" si="128"/>
        <v>243</v>
      </c>
      <c r="EH135" s="12">
        <f t="shared" si="129"/>
        <v>243</v>
      </c>
      <c r="EI135" s="12">
        <f t="shared" si="130"/>
        <v>233</v>
      </c>
      <c r="EJ135" s="12">
        <f t="shared" si="131"/>
        <v>223</v>
      </c>
      <c r="EK135" s="12">
        <f t="shared" si="132"/>
        <v>459</v>
      </c>
      <c r="EL135" s="12">
        <f t="shared" si="133"/>
        <v>243</v>
      </c>
      <c r="EM135" s="12">
        <f t="shared" si="134"/>
        <v>233</v>
      </c>
      <c r="EN135" s="12">
        <f t="shared" si="135"/>
        <v>336</v>
      </c>
      <c r="EO135" s="12">
        <f t="shared" si="136"/>
        <v>223</v>
      </c>
      <c r="EP135" s="12">
        <f t="shared" si="137"/>
        <v>213</v>
      </c>
      <c r="EQ135" s="12">
        <f t="shared" si="138"/>
        <v>203</v>
      </c>
      <c r="ER135" s="12">
        <f t="shared" si="139"/>
        <v>326</v>
      </c>
      <c r="ES135" s="12">
        <f t="shared" si="140"/>
        <v>306</v>
      </c>
      <c r="ET135" s="12">
        <f t="shared" si="141"/>
        <v>193</v>
      </c>
      <c r="EU135" s="12">
        <f t="shared" si="142"/>
        <v>296</v>
      </c>
      <c r="EV135" s="12">
        <f t="shared" si="143"/>
        <v>193</v>
      </c>
      <c r="EW135" s="12">
        <f t="shared" si="144"/>
        <v>173</v>
      </c>
      <c r="EX135" s="12">
        <f t="shared" si="145"/>
        <v>163</v>
      </c>
      <c r="EY135" s="12">
        <f t="shared" si="146"/>
        <v>143</v>
      </c>
      <c r="EZ135" s="12">
        <v>135</v>
      </c>
    </row>
    <row r="136" spans="1:156" ht="13.35" customHeight="1" x14ac:dyDescent="0.2">
      <c r="A136" s="21">
        <f t="shared" si="153"/>
        <v>135</v>
      </c>
      <c r="B136" s="22">
        <f t="shared" si="156"/>
        <v>80</v>
      </c>
      <c r="C136" s="21">
        <f t="shared" si="151"/>
        <v>2115</v>
      </c>
      <c r="AU136" s="12" t="s">
        <v>1653</v>
      </c>
      <c r="DB136" s="12" t="s">
        <v>1654</v>
      </c>
      <c r="DC136" s="12" t="s">
        <v>1655</v>
      </c>
      <c r="DD136" s="12" t="s">
        <v>1656</v>
      </c>
      <c r="DF136" s="12">
        <v>8</v>
      </c>
      <c r="DQ136" s="35">
        <v>133</v>
      </c>
      <c r="DR136" s="32">
        <v>86</v>
      </c>
      <c r="DS136" s="73">
        <v>111.5</v>
      </c>
      <c r="DT136" s="71">
        <v>25</v>
      </c>
      <c r="DU136" s="21">
        <v>198</v>
      </c>
      <c r="DV136" s="31">
        <f t="shared" si="154"/>
        <v>233</v>
      </c>
      <c r="DW136" s="30">
        <f t="shared" si="155"/>
        <v>459</v>
      </c>
      <c r="DX136" s="36">
        <v>25</v>
      </c>
      <c r="DY136" s="23">
        <v>156.5</v>
      </c>
      <c r="DZ136" s="12">
        <v>134</v>
      </c>
      <c r="EA136" s="12">
        <f t="shared" si="122"/>
        <v>532</v>
      </c>
      <c r="EB136" s="12">
        <f t="shared" si="123"/>
        <v>606</v>
      </c>
      <c r="EC136" s="12">
        <f t="shared" si="124"/>
        <v>596</v>
      </c>
      <c r="ED136" s="12">
        <f t="shared" si="125"/>
        <v>472</v>
      </c>
      <c r="EE136" s="12">
        <f t="shared" si="126"/>
        <v>358</v>
      </c>
      <c r="EF136" s="12">
        <f t="shared" si="127"/>
        <v>254</v>
      </c>
      <c r="EG136" s="12">
        <f t="shared" si="128"/>
        <v>244</v>
      </c>
      <c r="EH136" s="12">
        <f t="shared" si="129"/>
        <v>244</v>
      </c>
      <c r="EI136" s="12">
        <f t="shared" si="130"/>
        <v>234</v>
      </c>
      <c r="EJ136" s="12">
        <f t="shared" si="131"/>
        <v>224</v>
      </c>
      <c r="EK136" s="12">
        <f t="shared" si="132"/>
        <v>462</v>
      </c>
      <c r="EL136" s="12">
        <f t="shared" si="133"/>
        <v>244</v>
      </c>
      <c r="EM136" s="12">
        <f t="shared" si="134"/>
        <v>234</v>
      </c>
      <c r="EN136" s="12">
        <f t="shared" si="135"/>
        <v>338</v>
      </c>
      <c r="EO136" s="12">
        <f t="shared" si="136"/>
        <v>224</v>
      </c>
      <c r="EP136" s="12">
        <f t="shared" si="137"/>
        <v>214</v>
      </c>
      <c r="EQ136" s="12">
        <f t="shared" si="138"/>
        <v>204</v>
      </c>
      <c r="ER136" s="12">
        <f t="shared" si="139"/>
        <v>328</v>
      </c>
      <c r="ES136" s="12">
        <f t="shared" si="140"/>
        <v>308</v>
      </c>
      <c r="ET136" s="12">
        <f t="shared" si="141"/>
        <v>194</v>
      </c>
      <c r="EU136" s="12">
        <f t="shared" si="142"/>
        <v>298</v>
      </c>
      <c r="EV136" s="12">
        <f t="shared" si="143"/>
        <v>194</v>
      </c>
      <c r="EW136" s="12">
        <f t="shared" si="144"/>
        <v>174</v>
      </c>
      <c r="EX136" s="12">
        <f t="shared" si="145"/>
        <v>164</v>
      </c>
      <c r="EY136" s="12">
        <f t="shared" si="146"/>
        <v>144</v>
      </c>
      <c r="EZ136" s="12">
        <v>136</v>
      </c>
    </row>
    <row r="137" spans="1:156" ht="13.35" customHeight="1" x14ac:dyDescent="0.2">
      <c r="A137" s="21">
        <f t="shared" si="153"/>
        <v>136</v>
      </c>
      <c r="B137" s="22">
        <f t="shared" si="156"/>
        <v>82</v>
      </c>
      <c r="C137" s="21">
        <f t="shared" si="151"/>
        <v>2206</v>
      </c>
      <c r="F137" s="28"/>
      <c r="G137" s="28"/>
      <c r="H137" s="28"/>
      <c r="I137" s="28"/>
      <c r="J137" s="28"/>
      <c r="K137" s="28"/>
      <c r="L137" s="28"/>
      <c r="M137" s="28"/>
      <c r="N137" s="28"/>
      <c r="O137" s="28"/>
      <c r="P137" s="28"/>
      <c r="Q137" s="28"/>
      <c r="R137" s="28"/>
      <c r="S137" s="28"/>
      <c r="T137" s="28"/>
      <c r="U137" s="28"/>
      <c r="V137" s="28"/>
      <c r="W137" s="28"/>
      <c r="X137" s="28"/>
      <c r="Y137" s="28"/>
      <c r="Z137" s="28"/>
      <c r="AU137" s="12" t="s">
        <v>1657</v>
      </c>
      <c r="DB137" s="12" t="s">
        <v>1658</v>
      </c>
      <c r="DC137" s="12" t="s">
        <v>1651</v>
      </c>
      <c r="DD137" s="12" t="s">
        <v>1658</v>
      </c>
      <c r="DF137" s="12">
        <v>9</v>
      </c>
      <c r="DQ137" s="35">
        <v>134</v>
      </c>
      <c r="DR137" s="32">
        <v>86</v>
      </c>
      <c r="DS137" s="73">
        <v>112</v>
      </c>
      <c r="DT137" s="71">
        <v>25</v>
      </c>
      <c r="DU137" s="21">
        <v>199</v>
      </c>
      <c r="DV137" s="31">
        <f t="shared" si="154"/>
        <v>234</v>
      </c>
      <c r="DW137" s="30">
        <f t="shared" si="155"/>
        <v>462</v>
      </c>
      <c r="DX137" s="36">
        <v>25</v>
      </c>
      <c r="DY137" s="23">
        <v>157</v>
      </c>
      <c r="DZ137" s="12">
        <v>135</v>
      </c>
      <c r="EA137" s="12">
        <f t="shared" si="122"/>
        <v>535</v>
      </c>
      <c r="EB137" s="12">
        <f t="shared" si="123"/>
        <v>610</v>
      </c>
      <c r="EC137" s="12">
        <f t="shared" si="124"/>
        <v>600</v>
      </c>
      <c r="ED137" s="12">
        <f t="shared" si="125"/>
        <v>475</v>
      </c>
      <c r="EE137" s="12">
        <f t="shared" si="126"/>
        <v>360</v>
      </c>
      <c r="EF137" s="12">
        <f t="shared" si="127"/>
        <v>255</v>
      </c>
      <c r="EG137" s="12">
        <f t="shared" si="128"/>
        <v>245</v>
      </c>
      <c r="EH137" s="12">
        <f t="shared" si="129"/>
        <v>245</v>
      </c>
      <c r="EI137" s="12">
        <f t="shared" si="130"/>
        <v>235</v>
      </c>
      <c r="EJ137" s="12">
        <f t="shared" si="131"/>
        <v>225</v>
      </c>
      <c r="EK137" s="12">
        <f t="shared" si="132"/>
        <v>465</v>
      </c>
      <c r="EL137" s="12">
        <f t="shared" si="133"/>
        <v>245</v>
      </c>
      <c r="EM137" s="12">
        <f t="shared" si="134"/>
        <v>235</v>
      </c>
      <c r="EN137" s="12">
        <f t="shared" si="135"/>
        <v>340</v>
      </c>
      <c r="EO137" s="12">
        <f t="shared" si="136"/>
        <v>225</v>
      </c>
      <c r="EP137" s="12">
        <f t="shared" si="137"/>
        <v>215</v>
      </c>
      <c r="EQ137" s="12">
        <f t="shared" si="138"/>
        <v>205</v>
      </c>
      <c r="ER137" s="12">
        <f t="shared" si="139"/>
        <v>330</v>
      </c>
      <c r="ES137" s="12">
        <f t="shared" si="140"/>
        <v>310</v>
      </c>
      <c r="ET137" s="12">
        <f t="shared" si="141"/>
        <v>195</v>
      </c>
      <c r="EU137" s="12">
        <f t="shared" si="142"/>
        <v>300</v>
      </c>
      <c r="EV137" s="12">
        <f t="shared" si="143"/>
        <v>195</v>
      </c>
      <c r="EW137" s="12">
        <f t="shared" si="144"/>
        <v>175</v>
      </c>
      <c r="EX137" s="12">
        <f t="shared" si="145"/>
        <v>165</v>
      </c>
      <c r="EY137" s="12">
        <f t="shared" si="146"/>
        <v>145</v>
      </c>
      <c r="EZ137" s="12">
        <v>137</v>
      </c>
    </row>
    <row r="138" spans="1:156" ht="13.35" customHeight="1" x14ac:dyDescent="0.2">
      <c r="A138" s="21">
        <f t="shared" si="153"/>
        <v>137</v>
      </c>
      <c r="B138" s="22">
        <f t="shared" si="156"/>
        <v>84</v>
      </c>
      <c r="C138" s="21">
        <f t="shared" si="151"/>
        <v>2299</v>
      </c>
      <c r="AU138" s="12" t="s">
        <v>1538</v>
      </c>
      <c r="DB138" s="12" t="s">
        <v>1659</v>
      </c>
      <c r="DC138" s="12" t="s">
        <v>1658</v>
      </c>
      <c r="DD138" s="12" t="s">
        <v>1659</v>
      </c>
      <c r="DF138" s="12">
        <v>10</v>
      </c>
      <c r="DQ138" s="35">
        <v>135</v>
      </c>
      <c r="DR138" s="32">
        <v>87</v>
      </c>
      <c r="DS138" s="73">
        <v>112.5</v>
      </c>
      <c r="DT138" s="71">
        <v>25</v>
      </c>
      <c r="DU138" s="21">
        <v>200</v>
      </c>
      <c r="DV138" s="31">
        <f t="shared" si="154"/>
        <v>235</v>
      </c>
      <c r="DW138" s="30">
        <f t="shared" si="155"/>
        <v>465</v>
      </c>
      <c r="DX138" s="36">
        <v>25</v>
      </c>
      <c r="DY138" s="23">
        <v>157.5</v>
      </c>
      <c r="DZ138" s="12">
        <v>136</v>
      </c>
      <c r="EA138" s="12">
        <f t="shared" si="122"/>
        <v>538</v>
      </c>
      <c r="EB138" s="12">
        <f t="shared" si="123"/>
        <v>614</v>
      </c>
      <c r="EC138" s="12">
        <f t="shared" si="124"/>
        <v>604</v>
      </c>
      <c r="ED138" s="12">
        <f t="shared" si="125"/>
        <v>478</v>
      </c>
      <c r="EE138" s="12">
        <f t="shared" si="126"/>
        <v>362</v>
      </c>
      <c r="EF138" s="12">
        <f t="shared" si="127"/>
        <v>256</v>
      </c>
      <c r="EG138" s="12">
        <f t="shared" si="128"/>
        <v>246</v>
      </c>
      <c r="EH138" s="12">
        <f t="shared" si="129"/>
        <v>246</v>
      </c>
      <c r="EI138" s="12">
        <f t="shared" si="130"/>
        <v>236</v>
      </c>
      <c r="EJ138" s="12">
        <f t="shared" si="131"/>
        <v>226</v>
      </c>
      <c r="EK138" s="12">
        <f t="shared" si="132"/>
        <v>468</v>
      </c>
      <c r="EL138" s="12">
        <f t="shared" si="133"/>
        <v>246</v>
      </c>
      <c r="EM138" s="12">
        <f t="shared" si="134"/>
        <v>236</v>
      </c>
      <c r="EN138" s="12">
        <f t="shared" si="135"/>
        <v>342</v>
      </c>
      <c r="EO138" s="12">
        <f t="shared" si="136"/>
        <v>226</v>
      </c>
      <c r="EP138" s="12">
        <f t="shared" si="137"/>
        <v>216</v>
      </c>
      <c r="EQ138" s="12">
        <f t="shared" si="138"/>
        <v>206</v>
      </c>
      <c r="ER138" s="12">
        <f t="shared" si="139"/>
        <v>332</v>
      </c>
      <c r="ES138" s="12">
        <f t="shared" si="140"/>
        <v>312</v>
      </c>
      <c r="ET138" s="12">
        <f t="shared" si="141"/>
        <v>196</v>
      </c>
      <c r="EU138" s="12">
        <f t="shared" si="142"/>
        <v>302</v>
      </c>
      <c r="EV138" s="12">
        <f t="shared" si="143"/>
        <v>196</v>
      </c>
      <c r="EW138" s="12">
        <f t="shared" si="144"/>
        <v>176</v>
      </c>
      <c r="EX138" s="12">
        <f t="shared" si="145"/>
        <v>166</v>
      </c>
      <c r="EY138" s="12">
        <f t="shared" si="146"/>
        <v>146</v>
      </c>
      <c r="EZ138" s="12">
        <v>138</v>
      </c>
    </row>
    <row r="139" spans="1:156" ht="13.35" customHeight="1" x14ac:dyDescent="0.2">
      <c r="A139" s="21">
        <f t="shared" si="153"/>
        <v>138</v>
      </c>
      <c r="B139" s="22">
        <f t="shared" si="156"/>
        <v>86</v>
      </c>
      <c r="C139" s="21">
        <f t="shared" si="151"/>
        <v>2394</v>
      </c>
      <c r="E139" s="45"/>
      <c r="AU139" s="12" t="s">
        <v>1464</v>
      </c>
      <c r="DB139" s="12" t="s">
        <v>1660</v>
      </c>
      <c r="DC139" s="12" t="s">
        <v>1659</v>
      </c>
      <c r="DD139" s="12" t="s">
        <v>1661</v>
      </c>
      <c r="DF139" s="12">
        <v>11</v>
      </c>
      <c r="DQ139" s="35">
        <v>136</v>
      </c>
      <c r="DR139" s="32">
        <v>87</v>
      </c>
      <c r="DS139" s="73">
        <v>113</v>
      </c>
      <c r="DT139" s="71">
        <v>25</v>
      </c>
      <c r="DU139" s="21">
        <v>201</v>
      </c>
      <c r="DV139" s="31">
        <f t="shared" si="154"/>
        <v>236</v>
      </c>
      <c r="DW139" s="30">
        <f t="shared" si="155"/>
        <v>468</v>
      </c>
      <c r="DX139" s="36">
        <v>25</v>
      </c>
      <c r="DY139" s="23">
        <v>158</v>
      </c>
      <c r="DZ139" s="12">
        <v>137</v>
      </c>
      <c r="EA139" s="12">
        <f t="shared" si="122"/>
        <v>541</v>
      </c>
      <c r="EB139" s="12">
        <f t="shared" si="123"/>
        <v>618</v>
      </c>
      <c r="EC139" s="12">
        <f t="shared" si="124"/>
        <v>608</v>
      </c>
      <c r="ED139" s="12">
        <f t="shared" si="125"/>
        <v>481</v>
      </c>
      <c r="EE139" s="12">
        <f t="shared" si="126"/>
        <v>364</v>
      </c>
      <c r="EF139" s="12">
        <f t="shared" si="127"/>
        <v>257</v>
      </c>
      <c r="EG139" s="12">
        <f t="shared" si="128"/>
        <v>247</v>
      </c>
      <c r="EH139" s="12">
        <f t="shared" si="129"/>
        <v>247</v>
      </c>
      <c r="EI139" s="12">
        <f t="shared" si="130"/>
        <v>237</v>
      </c>
      <c r="EJ139" s="12">
        <f t="shared" si="131"/>
        <v>227</v>
      </c>
      <c r="EK139" s="12">
        <f t="shared" si="132"/>
        <v>471</v>
      </c>
      <c r="EL139" s="12">
        <f t="shared" si="133"/>
        <v>247</v>
      </c>
      <c r="EM139" s="12">
        <f t="shared" si="134"/>
        <v>237</v>
      </c>
      <c r="EN139" s="12">
        <f t="shared" si="135"/>
        <v>344</v>
      </c>
      <c r="EO139" s="12">
        <f t="shared" si="136"/>
        <v>227</v>
      </c>
      <c r="EP139" s="12">
        <f t="shared" si="137"/>
        <v>217</v>
      </c>
      <c r="EQ139" s="12">
        <f t="shared" si="138"/>
        <v>207</v>
      </c>
      <c r="ER139" s="12">
        <f t="shared" si="139"/>
        <v>334</v>
      </c>
      <c r="ES139" s="12">
        <f t="shared" si="140"/>
        <v>314</v>
      </c>
      <c r="ET139" s="12">
        <f t="shared" si="141"/>
        <v>197</v>
      </c>
      <c r="EU139" s="12">
        <f t="shared" si="142"/>
        <v>304</v>
      </c>
      <c r="EV139" s="12">
        <f t="shared" si="143"/>
        <v>197</v>
      </c>
      <c r="EW139" s="12">
        <f t="shared" si="144"/>
        <v>177</v>
      </c>
      <c r="EX139" s="12">
        <f t="shared" si="145"/>
        <v>167</v>
      </c>
      <c r="EY139" s="12">
        <f t="shared" si="146"/>
        <v>147</v>
      </c>
      <c r="EZ139" s="12">
        <v>139</v>
      </c>
    </row>
    <row r="140" spans="1:156" ht="13.35" customHeight="1" x14ac:dyDescent="0.2">
      <c r="A140" s="21">
        <f t="shared" si="153"/>
        <v>139</v>
      </c>
      <c r="B140" s="22">
        <f t="shared" si="156"/>
        <v>88</v>
      </c>
      <c r="C140" s="21">
        <f t="shared" si="151"/>
        <v>2491</v>
      </c>
      <c r="E140" s="45"/>
      <c r="AU140" s="12" t="s">
        <v>1662</v>
      </c>
      <c r="DQ140" s="35">
        <v>137</v>
      </c>
      <c r="DR140" s="32">
        <v>88</v>
      </c>
      <c r="DS140" s="73">
        <v>113.5</v>
      </c>
      <c r="DT140" s="71">
        <v>25</v>
      </c>
      <c r="DU140" s="21">
        <v>202</v>
      </c>
      <c r="DV140" s="31">
        <f t="shared" si="154"/>
        <v>237</v>
      </c>
      <c r="DW140" s="30">
        <f t="shared" si="155"/>
        <v>471</v>
      </c>
      <c r="DX140" s="36">
        <v>25</v>
      </c>
      <c r="DY140" s="23">
        <v>158.5</v>
      </c>
      <c r="DZ140" s="12">
        <v>138</v>
      </c>
      <c r="EA140" s="12">
        <f t="shared" si="122"/>
        <v>544</v>
      </c>
      <c r="EB140" s="12">
        <f t="shared" si="123"/>
        <v>622</v>
      </c>
      <c r="EC140" s="12">
        <f t="shared" si="124"/>
        <v>612</v>
      </c>
      <c r="ED140" s="12">
        <f t="shared" si="125"/>
        <v>484</v>
      </c>
      <c r="EE140" s="12">
        <f t="shared" si="126"/>
        <v>366</v>
      </c>
      <c r="EF140" s="12">
        <f t="shared" si="127"/>
        <v>258</v>
      </c>
      <c r="EG140" s="12">
        <f t="shared" si="128"/>
        <v>248</v>
      </c>
      <c r="EH140" s="12">
        <f t="shared" si="129"/>
        <v>248</v>
      </c>
      <c r="EI140" s="12">
        <f t="shared" si="130"/>
        <v>238</v>
      </c>
      <c r="EJ140" s="12">
        <f t="shared" si="131"/>
        <v>228</v>
      </c>
      <c r="EK140" s="12">
        <f t="shared" si="132"/>
        <v>474</v>
      </c>
      <c r="EL140" s="12">
        <f t="shared" si="133"/>
        <v>248</v>
      </c>
      <c r="EM140" s="12">
        <f t="shared" si="134"/>
        <v>238</v>
      </c>
      <c r="EN140" s="12">
        <f t="shared" si="135"/>
        <v>346</v>
      </c>
      <c r="EO140" s="12">
        <f t="shared" si="136"/>
        <v>228</v>
      </c>
      <c r="EP140" s="12">
        <f t="shared" si="137"/>
        <v>218</v>
      </c>
      <c r="EQ140" s="12">
        <f t="shared" si="138"/>
        <v>208</v>
      </c>
      <c r="ER140" s="12">
        <f t="shared" si="139"/>
        <v>336</v>
      </c>
      <c r="ES140" s="12">
        <f t="shared" si="140"/>
        <v>316</v>
      </c>
      <c r="ET140" s="12">
        <f t="shared" si="141"/>
        <v>198</v>
      </c>
      <c r="EU140" s="12">
        <f t="shared" si="142"/>
        <v>306</v>
      </c>
      <c r="EV140" s="12">
        <f t="shared" si="143"/>
        <v>198</v>
      </c>
      <c r="EW140" s="12">
        <f t="shared" si="144"/>
        <v>178</v>
      </c>
      <c r="EX140" s="12">
        <f t="shared" si="145"/>
        <v>168</v>
      </c>
      <c r="EY140" s="12">
        <f t="shared" si="146"/>
        <v>148</v>
      </c>
      <c r="EZ140" s="12">
        <v>140</v>
      </c>
    </row>
    <row r="141" spans="1:156" ht="13.35" customHeight="1" x14ac:dyDescent="0.2">
      <c r="A141" s="21">
        <f t="shared" si="153"/>
        <v>140</v>
      </c>
      <c r="B141" s="22">
        <f t="shared" si="156"/>
        <v>90</v>
      </c>
      <c r="C141" s="21">
        <f t="shared" si="151"/>
        <v>2590</v>
      </c>
      <c r="E141" s="45"/>
      <c r="DQ141" s="35">
        <v>138</v>
      </c>
      <c r="DR141" s="32">
        <v>88</v>
      </c>
      <c r="DS141" s="73">
        <v>114</v>
      </c>
      <c r="DT141" s="71">
        <v>25</v>
      </c>
      <c r="DU141" s="21">
        <v>203</v>
      </c>
      <c r="DV141" s="31">
        <f t="shared" si="154"/>
        <v>238</v>
      </c>
      <c r="DW141" s="30">
        <f t="shared" si="155"/>
        <v>474</v>
      </c>
      <c r="DX141" s="36">
        <v>25</v>
      </c>
      <c r="DY141" s="23">
        <v>159</v>
      </c>
      <c r="DZ141" s="12">
        <v>139</v>
      </c>
      <c r="EA141" s="12">
        <f t="shared" si="122"/>
        <v>547</v>
      </c>
      <c r="EB141" s="12">
        <f t="shared" si="123"/>
        <v>626</v>
      </c>
      <c r="EC141" s="12">
        <f t="shared" si="124"/>
        <v>616</v>
      </c>
      <c r="ED141" s="12">
        <f t="shared" si="125"/>
        <v>487</v>
      </c>
      <c r="EE141" s="12">
        <f t="shared" si="126"/>
        <v>368</v>
      </c>
      <c r="EF141" s="12">
        <f t="shared" si="127"/>
        <v>259</v>
      </c>
      <c r="EG141" s="12">
        <f t="shared" si="128"/>
        <v>249</v>
      </c>
      <c r="EH141" s="12">
        <f t="shared" si="129"/>
        <v>249</v>
      </c>
      <c r="EI141" s="12">
        <f t="shared" si="130"/>
        <v>239</v>
      </c>
      <c r="EJ141" s="12">
        <f t="shared" si="131"/>
        <v>229</v>
      </c>
      <c r="EK141" s="12">
        <f t="shared" si="132"/>
        <v>477</v>
      </c>
      <c r="EL141" s="12">
        <f t="shared" si="133"/>
        <v>249</v>
      </c>
      <c r="EM141" s="12">
        <f t="shared" si="134"/>
        <v>239</v>
      </c>
      <c r="EN141" s="12">
        <f t="shared" si="135"/>
        <v>348</v>
      </c>
      <c r="EO141" s="12">
        <f t="shared" si="136"/>
        <v>229</v>
      </c>
      <c r="EP141" s="12">
        <f t="shared" si="137"/>
        <v>219</v>
      </c>
      <c r="EQ141" s="12">
        <f t="shared" si="138"/>
        <v>209</v>
      </c>
      <c r="ER141" s="12">
        <f t="shared" si="139"/>
        <v>338</v>
      </c>
      <c r="ES141" s="12">
        <f t="shared" si="140"/>
        <v>318</v>
      </c>
      <c r="ET141" s="12">
        <f t="shared" si="141"/>
        <v>199</v>
      </c>
      <c r="EU141" s="12">
        <f t="shared" si="142"/>
        <v>308</v>
      </c>
      <c r="EV141" s="12">
        <f t="shared" si="143"/>
        <v>199</v>
      </c>
      <c r="EW141" s="12">
        <f t="shared" si="144"/>
        <v>179</v>
      </c>
      <c r="EX141" s="12">
        <f t="shared" si="145"/>
        <v>169</v>
      </c>
      <c r="EY141" s="12">
        <f t="shared" si="146"/>
        <v>149</v>
      </c>
      <c r="EZ141" s="12">
        <v>141</v>
      </c>
    </row>
    <row r="142" spans="1:156" ht="13.35" customHeight="1" x14ac:dyDescent="0.2">
      <c r="A142" s="21">
        <f t="shared" si="153"/>
        <v>141</v>
      </c>
      <c r="B142" s="22">
        <f t="shared" si="156"/>
        <v>92</v>
      </c>
      <c r="C142" s="21">
        <f t="shared" si="151"/>
        <v>2691</v>
      </c>
      <c r="E142" s="45"/>
      <c r="DQ142" s="35">
        <v>139</v>
      </c>
      <c r="DR142" s="32">
        <v>89</v>
      </c>
      <c r="DS142" s="73">
        <v>114.5</v>
      </c>
      <c r="DT142" s="71">
        <v>25</v>
      </c>
      <c r="DU142" s="21">
        <v>204</v>
      </c>
      <c r="DV142" s="31">
        <f t="shared" si="154"/>
        <v>239</v>
      </c>
      <c r="DW142" s="30">
        <f t="shared" si="155"/>
        <v>477</v>
      </c>
      <c r="DX142" s="36">
        <v>25</v>
      </c>
      <c r="DY142" s="23">
        <v>159.5</v>
      </c>
      <c r="DZ142" s="20">
        <v>140</v>
      </c>
      <c r="EA142" s="12">
        <f t="shared" si="122"/>
        <v>550</v>
      </c>
      <c r="EB142" s="12">
        <f t="shared" si="123"/>
        <v>630</v>
      </c>
      <c r="EC142" s="12">
        <f t="shared" si="124"/>
        <v>620</v>
      </c>
      <c r="ED142" s="12">
        <f t="shared" si="125"/>
        <v>490</v>
      </c>
      <c r="EE142" s="12">
        <f t="shared" si="126"/>
        <v>370</v>
      </c>
      <c r="EF142" s="12">
        <f t="shared" si="127"/>
        <v>260</v>
      </c>
      <c r="EG142" s="12">
        <f t="shared" si="128"/>
        <v>250</v>
      </c>
      <c r="EH142" s="12">
        <f t="shared" si="129"/>
        <v>250</v>
      </c>
      <c r="EI142" s="12">
        <f t="shared" si="130"/>
        <v>240</v>
      </c>
      <c r="EJ142" s="12">
        <f t="shared" si="131"/>
        <v>230</v>
      </c>
      <c r="EK142" s="12">
        <f t="shared" si="132"/>
        <v>480</v>
      </c>
      <c r="EL142" s="12">
        <f t="shared" si="133"/>
        <v>250</v>
      </c>
      <c r="EM142" s="12">
        <f t="shared" si="134"/>
        <v>240</v>
      </c>
      <c r="EN142" s="12">
        <f t="shared" si="135"/>
        <v>350</v>
      </c>
      <c r="EO142" s="12">
        <f t="shared" si="136"/>
        <v>230</v>
      </c>
      <c r="EP142" s="12">
        <f t="shared" si="137"/>
        <v>220</v>
      </c>
      <c r="EQ142" s="12">
        <f t="shared" si="138"/>
        <v>210</v>
      </c>
      <c r="ER142" s="12">
        <f t="shared" si="139"/>
        <v>340</v>
      </c>
      <c r="ES142" s="12">
        <f t="shared" si="140"/>
        <v>320</v>
      </c>
      <c r="ET142" s="12">
        <f t="shared" si="141"/>
        <v>200</v>
      </c>
      <c r="EU142" s="12">
        <f t="shared" si="142"/>
        <v>310</v>
      </c>
      <c r="EV142" s="12">
        <f t="shared" si="143"/>
        <v>200</v>
      </c>
      <c r="EW142" s="12">
        <f t="shared" si="144"/>
        <v>180</v>
      </c>
      <c r="EX142" s="12">
        <f t="shared" si="145"/>
        <v>170</v>
      </c>
      <c r="EY142" s="12">
        <f t="shared" si="146"/>
        <v>150</v>
      </c>
      <c r="EZ142" s="20">
        <v>142</v>
      </c>
    </row>
    <row r="143" spans="1:156" ht="13.35" customHeight="1" x14ac:dyDescent="0.2">
      <c r="A143" s="21">
        <f t="shared" si="153"/>
        <v>142</v>
      </c>
      <c r="B143" s="22">
        <f t="shared" si="156"/>
        <v>94</v>
      </c>
      <c r="C143" s="21">
        <f t="shared" si="151"/>
        <v>2794</v>
      </c>
      <c r="E143" s="45"/>
      <c r="DQ143" s="35">
        <v>140</v>
      </c>
      <c r="DR143" s="32">
        <v>89</v>
      </c>
      <c r="DS143" s="73">
        <v>115</v>
      </c>
      <c r="DT143" s="71">
        <v>25</v>
      </c>
      <c r="DU143" s="21">
        <v>205</v>
      </c>
      <c r="DV143" s="31">
        <f t="shared" si="154"/>
        <v>240</v>
      </c>
      <c r="DW143" s="30">
        <f t="shared" si="155"/>
        <v>480</v>
      </c>
      <c r="DX143" s="36">
        <v>25</v>
      </c>
      <c r="DY143" s="23">
        <v>160</v>
      </c>
      <c r="DZ143" s="12">
        <v>141</v>
      </c>
      <c r="EA143" s="12">
        <f t="shared" si="122"/>
        <v>553</v>
      </c>
      <c r="EB143" s="12">
        <f t="shared" si="123"/>
        <v>634</v>
      </c>
      <c r="EC143" s="12">
        <f t="shared" si="124"/>
        <v>624</v>
      </c>
      <c r="ED143" s="12">
        <f t="shared" si="125"/>
        <v>493</v>
      </c>
      <c r="EE143" s="12">
        <f t="shared" si="126"/>
        <v>372</v>
      </c>
      <c r="EF143" s="12">
        <f t="shared" si="127"/>
        <v>261</v>
      </c>
      <c r="EG143" s="12">
        <f t="shared" si="128"/>
        <v>251</v>
      </c>
      <c r="EH143" s="12">
        <f t="shared" si="129"/>
        <v>251</v>
      </c>
      <c r="EI143" s="12">
        <f t="shared" si="130"/>
        <v>241</v>
      </c>
      <c r="EJ143" s="12">
        <f t="shared" si="131"/>
        <v>231</v>
      </c>
      <c r="EK143" s="12">
        <f t="shared" si="132"/>
        <v>483</v>
      </c>
      <c r="EL143" s="12">
        <f t="shared" si="133"/>
        <v>251</v>
      </c>
      <c r="EM143" s="12">
        <f t="shared" si="134"/>
        <v>241</v>
      </c>
      <c r="EN143" s="12">
        <f t="shared" si="135"/>
        <v>352</v>
      </c>
      <c r="EO143" s="12">
        <f t="shared" si="136"/>
        <v>231</v>
      </c>
      <c r="EP143" s="12">
        <f t="shared" si="137"/>
        <v>221</v>
      </c>
      <c r="EQ143" s="12">
        <f t="shared" si="138"/>
        <v>211</v>
      </c>
      <c r="ER143" s="12">
        <f t="shared" si="139"/>
        <v>342</v>
      </c>
      <c r="ES143" s="12">
        <f t="shared" si="140"/>
        <v>322</v>
      </c>
      <c r="ET143" s="12">
        <f t="shared" si="141"/>
        <v>201</v>
      </c>
      <c r="EU143" s="12">
        <f t="shared" si="142"/>
        <v>312</v>
      </c>
      <c r="EV143" s="12">
        <f t="shared" si="143"/>
        <v>201</v>
      </c>
      <c r="EW143" s="12">
        <f t="shared" si="144"/>
        <v>181</v>
      </c>
      <c r="EX143" s="12">
        <f t="shared" si="145"/>
        <v>171</v>
      </c>
      <c r="EY143" s="12">
        <f t="shared" si="146"/>
        <v>151</v>
      </c>
      <c r="EZ143" s="12">
        <v>143</v>
      </c>
    </row>
    <row r="144" spans="1:156" ht="13.35" customHeight="1" x14ac:dyDescent="0.2">
      <c r="A144" s="21">
        <f t="shared" si="153"/>
        <v>143</v>
      </c>
      <c r="B144" s="22">
        <f t="shared" si="156"/>
        <v>96</v>
      </c>
      <c r="C144" s="21">
        <f t="shared" si="151"/>
        <v>2899</v>
      </c>
      <c r="E144" s="45" t="s">
        <v>1096</v>
      </c>
      <c r="F144" s="12" t="s">
        <v>763</v>
      </c>
      <c r="G144" s="12" t="s">
        <v>764</v>
      </c>
      <c r="H144" s="12" t="s">
        <v>765</v>
      </c>
      <c r="I144" s="12" t="s">
        <v>766</v>
      </c>
      <c r="J144" s="12" t="s">
        <v>767</v>
      </c>
      <c r="K144" s="12" t="s">
        <v>768</v>
      </c>
      <c r="L144" s="12" t="s">
        <v>769</v>
      </c>
      <c r="M144" s="12" t="s">
        <v>770</v>
      </c>
      <c r="N144" s="12" t="s">
        <v>771</v>
      </c>
      <c r="O144" s="12" t="s">
        <v>772</v>
      </c>
      <c r="P144" s="12" t="s">
        <v>773</v>
      </c>
      <c r="Q144" s="12" t="s">
        <v>774</v>
      </c>
      <c r="R144" s="12" t="s">
        <v>775</v>
      </c>
      <c r="S144" s="12" t="s">
        <v>181</v>
      </c>
      <c r="T144" s="12" t="s">
        <v>776</v>
      </c>
      <c r="U144" s="12" t="s">
        <v>777</v>
      </c>
      <c r="V144" s="12" t="s">
        <v>778</v>
      </c>
      <c r="W144" s="12" t="s">
        <v>779</v>
      </c>
      <c r="X144" s="12" t="s">
        <v>780</v>
      </c>
      <c r="Y144" s="12" t="s">
        <v>781</v>
      </c>
      <c r="AA144" s="12" t="str">
        <f>AA129</f>
        <v>Arcanist (AC)</v>
      </c>
      <c r="AB144" s="12" t="str">
        <f>AB129</f>
        <v>Wizard (AC)</v>
      </c>
      <c r="AC144" s="12" t="str">
        <f>AC129</f>
        <v>Chaotic (AC)</v>
      </c>
      <c r="AD144" s="12" t="str">
        <f>AD129</f>
        <v>Magehunter (AC)</v>
      </c>
      <c r="AF144" s="12" t="s">
        <v>786</v>
      </c>
      <c r="AG144" s="12" t="s">
        <v>787</v>
      </c>
      <c r="AH144" s="12" t="s">
        <v>788</v>
      </c>
      <c r="AJ144" s="12" t="s">
        <v>789</v>
      </c>
      <c r="AK144" s="12" t="s">
        <v>790</v>
      </c>
      <c r="AL144" s="12" t="s">
        <v>791</v>
      </c>
      <c r="AM144" s="12" t="s">
        <v>792</v>
      </c>
      <c r="AO144" s="12" t="s">
        <v>793</v>
      </c>
      <c r="AP144" s="12" t="s">
        <v>794</v>
      </c>
      <c r="AQ144" s="12" t="s">
        <v>795</v>
      </c>
      <c r="AS144" s="12" t="s">
        <v>796</v>
      </c>
      <c r="AT144" s="12" t="s">
        <v>797</v>
      </c>
      <c r="AU144" s="12" t="s">
        <v>798</v>
      </c>
      <c r="AV144" s="12" t="s">
        <v>799</v>
      </c>
      <c r="AW144" s="12" t="s">
        <v>800</v>
      </c>
      <c r="AX144" s="12" t="s">
        <v>801</v>
      </c>
      <c r="AY144" s="12" t="s">
        <v>802</v>
      </c>
      <c r="AZ144" s="12" t="s">
        <v>803</v>
      </c>
      <c r="BA144" s="12" t="str">
        <f t="shared" ref="BA144:CQ144" si="157">BA129</f>
        <v>Priest of Culture</v>
      </c>
      <c r="BB144" s="12" t="str">
        <f t="shared" si="157"/>
        <v>Priest of Darkness, Night</v>
      </c>
      <c r="BC144" s="12" t="str">
        <f t="shared" si="157"/>
        <v>Priest of Dawn</v>
      </c>
      <c r="BD144" s="12" t="str">
        <f t="shared" si="157"/>
        <v>Priest of Death</v>
      </c>
      <c r="BE144" s="12" t="str">
        <f t="shared" si="157"/>
        <v>Priest of Disease</v>
      </c>
      <c r="BF144" s="12" t="str">
        <f t="shared" si="157"/>
        <v>Priest of Earth</v>
      </c>
      <c r="BG144" s="12" t="str">
        <f t="shared" si="157"/>
        <v>Priest of Fate, Destiny</v>
      </c>
      <c r="BH144" s="12" t="str">
        <f t="shared" si="157"/>
        <v>Priest of Fertility</v>
      </c>
      <c r="BI144" s="12" t="str">
        <f t="shared" si="157"/>
        <v>Priest of Fire</v>
      </c>
      <c r="BJ144" s="12" t="str">
        <f t="shared" si="157"/>
        <v>Priest of Fortune, Luck</v>
      </c>
      <c r="BK144" s="12" t="str">
        <f t="shared" si="157"/>
        <v>Priest of Guardianship</v>
      </c>
      <c r="BL144" s="12" t="str">
        <f t="shared" si="157"/>
        <v>Priest of Healing</v>
      </c>
      <c r="BM144" s="12" t="str">
        <f t="shared" si="157"/>
        <v>Priest of Hunting</v>
      </c>
      <c r="BN144" s="12" t="str">
        <f t="shared" si="157"/>
        <v>Priest of Justice, Revenge</v>
      </c>
      <c r="BO144" s="12" t="str">
        <f t="shared" si="157"/>
        <v>Priest of Light</v>
      </c>
      <c r="BP144" s="12" t="str">
        <f t="shared" si="157"/>
        <v>Priest of Lightning</v>
      </c>
      <c r="BQ144" s="12" t="str">
        <f t="shared" si="157"/>
        <v>Priest of Literature</v>
      </c>
      <c r="BR144" s="12" t="str">
        <f t="shared" si="157"/>
        <v>Priest of Love</v>
      </c>
      <c r="BS144" s="12" t="str">
        <f t="shared" si="157"/>
        <v>Priest of Magic</v>
      </c>
      <c r="BT144" s="12" t="str">
        <f t="shared" si="157"/>
        <v>Priest of Marriage</v>
      </c>
      <c r="BU144" s="12" t="str">
        <f t="shared" si="157"/>
        <v>Priest of Messengers</v>
      </c>
      <c r="BV144" s="12" t="str">
        <f t="shared" si="157"/>
        <v>Priest of Metalwork</v>
      </c>
      <c r="BW144" s="12" t="str">
        <f t="shared" si="157"/>
        <v>Priest of Mischief/Trickery</v>
      </c>
      <c r="BX144" s="12" t="str">
        <f t="shared" si="157"/>
        <v>Priest of Moon</v>
      </c>
      <c r="BY144" s="12" t="str">
        <f t="shared" si="157"/>
        <v>Priest of Music, Dance</v>
      </c>
      <c r="BZ144" s="12" t="str">
        <f t="shared" si="157"/>
        <v>Priest of Nature</v>
      </c>
      <c r="CA144" s="12" t="str">
        <f t="shared" si="157"/>
        <v>Priest of Ocean, Rivers</v>
      </c>
      <c r="CB144" s="12" t="str">
        <f t="shared" si="157"/>
        <v>Priest of Oracles</v>
      </c>
      <c r="CC144" s="12" t="str">
        <f t="shared" si="157"/>
        <v>Priest of Peace</v>
      </c>
      <c r="CD144" s="12" t="str">
        <f t="shared" si="157"/>
        <v>Priest of Prosperity</v>
      </c>
      <c r="CE144" s="12" t="str">
        <f t="shared" si="157"/>
        <v>Priest of Redemption</v>
      </c>
      <c r="CF144" s="12" t="str">
        <f t="shared" si="157"/>
        <v>Priest of Rulership</v>
      </c>
      <c r="CG144" s="12" t="str">
        <f t="shared" si="157"/>
        <v>Priest of Seasons</v>
      </c>
      <c r="CH144" s="12" t="str">
        <f t="shared" si="157"/>
        <v>Priest of Sky, Weather</v>
      </c>
      <c r="CI144" s="12" t="str">
        <f t="shared" si="157"/>
        <v>Priest of Strength</v>
      </c>
      <c r="CJ144" s="12" t="str">
        <f t="shared" si="157"/>
        <v>Priest of Sun</v>
      </c>
      <c r="CK144" s="12" t="str">
        <f t="shared" si="157"/>
        <v>Priest of Thunder</v>
      </c>
      <c r="CL144" s="12" t="str">
        <f t="shared" si="157"/>
        <v>Priest of Time</v>
      </c>
      <c r="CM144" s="12" t="str">
        <f t="shared" si="157"/>
        <v>Priest of Trade</v>
      </c>
      <c r="CN144" s="12" t="str">
        <f t="shared" si="157"/>
        <v>Priest of Vegetation</v>
      </c>
      <c r="CO144" s="12" t="str">
        <f t="shared" si="157"/>
        <v>Priest of War</v>
      </c>
      <c r="CP144" s="12" t="str">
        <f t="shared" si="157"/>
        <v>Priest of Wind</v>
      </c>
      <c r="CQ144" s="12" t="str">
        <f t="shared" si="157"/>
        <v>Priest of Wisdom</v>
      </c>
      <c r="CS144" s="12" t="str">
        <f>CS129</f>
        <v>Barbarian (FRP)</v>
      </c>
      <c r="CT144" s="12" t="str">
        <f>CT129</f>
        <v>Outrider (FRP)</v>
      </c>
      <c r="CU144" s="12" t="str">
        <f>CU129</f>
        <v>Sage (FRP)</v>
      </c>
      <c r="CV144" s="12" t="str">
        <f>CV129</f>
        <v>Swashbuckler (FRP)</v>
      </c>
      <c r="CX144" s="12" t="s">
        <v>851</v>
      </c>
      <c r="CY144" s="12" t="s">
        <v>852</v>
      </c>
      <c r="CZ144" s="12" t="s">
        <v>853</v>
      </c>
      <c r="DA144" s="12" t="s">
        <v>1129</v>
      </c>
      <c r="DB144" s="12" t="s">
        <v>855</v>
      </c>
      <c r="DC144" s="12" t="s">
        <v>856</v>
      </c>
      <c r="DD144" s="12" t="s">
        <v>857</v>
      </c>
      <c r="DE144" s="12" t="str">
        <f>DE129</f>
        <v>NEW PROF</v>
      </c>
      <c r="DF144" s="12">
        <v>1</v>
      </c>
      <c r="DQ144" s="35">
        <v>141</v>
      </c>
      <c r="DR144" s="32">
        <v>90</v>
      </c>
      <c r="DS144" s="73">
        <v>115.5</v>
      </c>
      <c r="DT144" s="71">
        <v>25</v>
      </c>
      <c r="DU144" s="21">
        <v>206</v>
      </c>
      <c r="DV144" s="31">
        <f t="shared" si="154"/>
        <v>241</v>
      </c>
      <c r="DW144" s="30">
        <f t="shared" si="155"/>
        <v>483</v>
      </c>
      <c r="DX144" s="36">
        <v>25</v>
      </c>
      <c r="DY144" s="23">
        <v>160.5</v>
      </c>
      <c r="DZ144" s="12">
        <v>142</v>
      </c>
      <c r="EA144" s="12">
        <f t="shared" si="122"/>
        <v>556</v>
      </c>
      <c r="EB144" s="12">
        <f t="shared" si="123"/>
        <v>638</v>
      </c>
      <c r="EC144" s="12">
        <f t="shared" si="124"/>
        <v>628</v>
      </c>
      <c r="ED144" s="12">
        <f t="shared" si="125"/>
        <v>496</v>
      </c>
      <c r="EE144" s="12">
        <f t="shared" si="126"/>
        <v>374</v>
      </c>
      <c r="EF144" s="12">
        <f t="shared" si="127"/>
        <v>262</v>
      </c>
      <c r="EG144" s="12">
        <f t="shared" si="128"/>
        <v>252</v>
      </c>
      <c r="EH144" s="12">
        <f t="shared" si="129"/>
        <v>252</v>
      </c>
      <c r="EI144" s="12">
        <f t="shared" si="130"/>
        <v>242</v>
      </c>
      <c r="EJ144" s="12">
        <f t="shared" si="131"/>
        <v>232</v>
      </c>
      <c r="EK144" s="12">
        <f t="shared" si="132"/>
        <v>486</v>
      </c>
      <c r="EL144" s="12">
        <f t="shared" si="133"/>
        <v>252</v>
      </c>
      <c r="EM144" s="12">
        <f t="shared" si="134"/>
        <v>242</v>
      </c>
      <c r="EN144" s="12">
        <f t="shared" si="135"/>
        <v>354</v>
      </c>
      <c r="EO144" s="12">
        <f t="shared" si="136"/>
        <v>232</v>
      </c>
      <c r="EP144" s="12">
        <f t="shared" si="137"/>
        <v>222</v>
      </c>
      <c r="EQ144" s="12">
        <f t="shared" si="138"/>
        <v>212</v>
      </c>
      <c r="ER144" s="12">
        <f t="shared" si="139"/>
        <v>344</v>
      </c>
      <c r="ES144" s="12">
        <f t="shared" si="140"/>
        <v>324</v>
      </c>
      <c r="ET144" s="12">
        <f t="shared" si="141"/>
        <v>202</v>
      </c>
      <c r="EU144" s="12">
        <f t="shared" si="142"/>
        <v>314</v>
      </c>
      <c r="EV144" s="12">
        <f t="shared" si="143"/>
        <v>202</v>
      </c>
      <c r="EW144" s="12">
        <f t="shared" si="144"/>
        <v>182</v>
      </c>
      <c r="EX144" s="12">
        <f t="shared" si="145"/>
        <v>172</v>
      </c>
      <c r="EY144" s="12">
        <f t="shared" si="146"/>
        <v>152</v>
      </c>
      <c r="EZ144" s="12">
        <v>144</v>
      </c>
    </row>
    <row r="145" spans="1:156" ht="13.35" customHeight="1" x14ac:dyDescent="0.2">
      <c r="A145" s="21">
        <f t="shared" si="153"/>
        <v>144</v>
      </c>
      <c r="B145" s="22">
        <f t="shared" si="156"/>
        <v>98</v>
      </c>
      <c r="C145" s="21">
        <f t="shared" si="151"/>
        <v>3006</v>
      </c>
      <c r="E145" s="45"/>
      <c r="F145" s="20" t="s">
        <v>1663</v>
      </c>
      <c r="G145" s="20" t="s">
        <v>1664</v>
      </c>
      <c r="H145" s="20" t="s">
        <v>530</v>
      </c>
      <c r="I145" s="20" t="s">
        <v>461</v>
      </c>
      <c r="J145" s="20" t="s">
        <v>1665</v>
      </c>
      <c r="K145" s="20" t="s">
        <v>486</v>
      </c>
      <c r="L145" s="20" t="s">
        <v>486</v>
      </c>
      <c r="M145" s="20" t="s">
        <v>486</v>
      </c>
      <c r="N145" s="20" t="s">
        <v>486</v>
      </c>
      <c r="O145" s="20" t="s">
        <v>466</v>
      </c>
      <c r="P145" s="20" t="s">
        <v>486</v>
      </c>
      <c r="Q145" s="20" t="s">
        <v>486</v>
      </c>
      <c r="R145" s="20" t="s">
        <v>486</v>
      </c>
      <c r="S145" s="20" t="s">
        <v>486</v>
      </c>
      <c r="T145" s="20" t="s">
        <v>1377</v>
      </c>
      <c r="U145" s="20" t="s">
        <v>637</v>
      </c>
      <c r="V145" s="20" t="s">
        <v>486</v>
      </c>
      <c r="W145" s="20" t="s">
        <v>461</v>
      </c>
      <c r="X145" s="20" t="s">
        <v>486</v>
      </c>
      <c r="Y145" s="20" t="s">
        <v>246</v>
      </c>
      <c r="Z145" s="20"/>
      <c r="AA145" s="20" t="s">
        <v>1666</v>
      </c>
      <c r="AB145" s="20" t="s">
        <v>1667</v>
      </c>
      <c r="AC145" s="20" t="s">
        <v>620</v>
      </c>
      <c r="AD145" s="20" t="s">
        <v>599</v>
      </c>
      <c r="AE145" s="20"/>
      <c r="AF145" s="20" t="s">
        <v>1668</v>
      </c>
      <c r="AG145" s="20" t="s">
        <v>486</v>
      </c>
      <c r="AH145" s="20" t="s">
        <v>246</v>
      </c>
      <c r="AI145" s="20"/>
      <c r="AJ145" s="20" t="s">
        <v>1321</v>
      </c>
      <c r="AK145" s="20" t="s">
        <v>631</v>
      </c>
      <c r="AL145" s="20" t="s">
        <v>551</v>
      </c>
      <c r="AM145" s="20" t="s">
        <v>609</v>
      </c>
      <c r="AN145" s="20"/>
      <c r="AO145" s="20" t="s">
        <v>486</v>
      </c>
      <c r="AP145" s="20" t="s">
        <v>486</v>
      </c>
      <c r="AQ145" s="20" t="s">
        <v>246</v>
      </c>
      <c r="AR145" s="20"/>
      <c r="AS145" s="20" t="s">
        <v>1669</v>
      </c>
      <c r="AT145" s="20" t="s">
        <v>543</v>
      </c>
      <c r="AU145" s="20" t="s">
        <v>1670</v>
      </c>
      <c r="AV145" s="20" t="s">
        <v>1671</v>
      </c>
      <c r="AW145" s="20" t="s">
        <v>662</v>
      </c>
      <c r="AX145" s="20" t="s">
        <v>543</v>
      </c>
      <c r="AY145" s="20" t="s">
        <v>1671</v>
      </c>
      <c r="AZ145" s="20" t="s">
        <v>1671</v>
      </c>
      <c r="BA145" s="20" t="s">
        <v>1262</v>
      </c>
      <c r="BB145" s="20" t="s">
        <v>1671</v>
      </c>
      <c r="BC145" s="20" t="s">
        <v>1671</v>
      </c>
      <c r="BD145" s="20" t="s">
        <v>246</v>
      </c>
      <c r="BE145" s="20" t="s">
        <v>1671</v>
      </c>
      <c r="BF145" s="20" t="s">
        <v>1262</v>
      </c>
      <c r="BG145" s="20" t="s">
        <v>1262</v>
      </c>
      <c r="BH145" s="20" t="s">
        <v>512</v>
      </c>
      <c r="BI145" s="20" t="s">
        <v>1671</v>
      </c>
      <c r="BJ145" s="20" t="s">
        <v>663</v>
      </c>
      <c r="BK145" s="20" t="s">
        <v>587</v>
      </c>
      <c r="BL145" s="20" t="s">
        <v>1117</v>
      </c>
      <c r="BM145" s="20" t="s">
        <v>1672</v>
      </c>
      <c r="BN145" s="20" t="s">
        <v>1671</v>
      </c>
      <c r="BO145" s="20" t="s">
        <v>662</v>
      </c>
      <c r="BP145" s="20" t="s">
        <v>1671</v>
      </c>
      <c r="BQ145" s="20" t="s">
        <v>1673</v>
      </c>
      <c r="BR145" s="20" t="s">
        <v>1671</v>
      </c>
      <c r="BS145" s="20" t="s">
        <v>1671</v>
      </c>
      <c r="BT145" s="20" t="s">
        <v>1262</v>
      </c>
      <c r="BU145" s="20" t="s">
        <v>1673</v>
      </c>
      <c r="BV145" s="20" t="s">
        <v>1674</v>
      </c>
      <c r="BW145" s="20" t="s">
        <v>1675</v>
      </c>
      <c r="BX145" s="20" t="s">
        <v>1676</v>
      </c>
      <c r="BY145" s="20" t="s">
        <v>1677</v>
      </c>
      <c r="BZ145" s="20" t="s">
        <v>1672</v>
      </c>
      <c r="CA145" s="20" t="s">
        <v>517</v>
      </c>
      <c r="CB145" s="20" t="s">
        <v>1279</v>
      </c>
      <c r="CC145" s="20" t="s">
        <v>1678</v>
      </c>
      <c r="CD145" s="20" t="s">
        <v>677</v>
      </c>
      <c r="CE145" s="20" t="s">
        <v>1675</v>
      </c>
      <c r="CF145" s="20" t="s">
        <v>1675</v>
      </c>
      <c r="CG145" s="20" t="s">
        <v>1279</v>
      </c>
      <c r="CH145" s="20" t="s">
        <v>1671</v>
      </c>
      <c r="CI145" s="20" t="s">
        <v>1671</v>
      </c>
      <c r="CJ145" s="20" t="s">
        <v>1117</v>
      </c>
      <c r="CK145" s="20" t="s">
        <v>1671</v>
      </c>
      <c r="CL145" s="20" t="s">
        <v>1679</v>
      </c>
      <c r="CM145" s="20"/>
      <c r="CN145" s="20" t="s">
        <v>1671</v>
      </c>
      <c r="CO145" s="20" t="s">
        <v>1680</v>
      </c>
      <c r="CP145" s="20" t="s">
        <v>1681</v>
      </c>
      <c r="CQ145" s="20" t="s">
        <v>1673</v>
      </c>
      <c r="CR145" s="20"/>
      <c r="CS145" s="20" t="s">
        <v>1682</v>
      </c>
      <c r="CT145" s="20" t="s">
        <v>1683</v>
      </c>
      <c r="CU145" s="20" t="s">
        <v>1684</v>
      </c>
      <c r="CV145" s="20" t="s">
        <v>1685</v>
      </c>
      <c r="CW145" s="20"/>
      <c r="CX145" s="20" t="s">
        <v>1686</v>
      </c>
      <c r="CY145" s="20" t="s">
        <v>486</v>
      </c>
      <c r="CZ145" s="20" t="s">
        <v>486</v>
      </c>
      <c r="DA145" s="20" t="s">
        <v>1682</v>
      </c>
      <c r="DB145" s="20" t="s">
        <v>486</v>
      </c>
      <c r="DC145" s="20" t="s">
        <v>486</v>
      </c>
      <c r="DD145" s="20" t="s">
        <v>486</v>
      </c>
      <c r="DE145" s="20"/>
      <c r="DF145" s="12">
        <v>2</v>
      </c>
      <c r="DQ145" s="35">
        <v>142</v>
      </c>
      <c r="DR145" s="32">
        <v>90</v>
      </c>
      <c r="DS145" s="73">
        <v>116</v>
      </c>
      <c r="DT145" s="71">
        <v>25</v>
      </c>
      <c r="DU145" s="21">
        <v>207</v>
      </c>
      <c r="DV145" s="31">
        <f t="shared" si="154"/>
        <v>242</v>
      </c>
      <c r="DW145" s="30">
        <f t="shared" si="155"/>
        <v>486</v>
      </c>
      <c r="DX145" s="36">
        <v>25</v>
      </c>
      <c r="DY145" s="23">
        <v>161</v>
      </c>
      <c r="DZ145" s="12">
        <v>143</v>
      </c>
      <c r="EA145" s="12">
        <f t="shared" si="122"/>
        <v>559</v>
      </c>
      <c r="EB145" s="12">
        <f t="shared" si="123"/>
        <v>642</v>
      </c>
      <c r="EC145" s="12">
        <f t="shared" si="124"/>
        <v>632</v>
      </c>
      <c r="ED145" s="12">
        <f t="shared" si="125"/>
        <v>499</v>
      </c>
      <c r="EE145" s="12">
        <f t="shared" si="126"/>
        <v>376</v>
      </c>
      <c r="EF145" s="12">
        <f t="shared" si="127"/>
        <v>263</v>
      </c>
      <c r="EG145" s="12">
        <f t="shared" si="128"/>
        <v>253</v>
      </c>
      <c r="EH145" s="12">
        <f t="shared" si="129"/>
        <v>253</v>
      </c>
      <c r="EI145" s="12">
        <f t="shared" si="130"/>
        <v>243</v>
      </c>
      <c r="EJ145" s="12">
        <f t="shared" si="131"/>
        <v>233</v>
      </c>
      <c r="EK145" s="12">
        <f t="shared" si="132"/>
        <v>489</v>
      </c>
      <c r="EL145" s="12">
        <f t="shared" si="133"/>
        <v>253</v>
      </c>
      <c r="EM145" s="12">
        <f t="shared" si="134"/>
        <v>243</v>
      </c>
      <c r="EN145" s="12">
        <f t="shared" si="135"/>
        <v>356</v>
      </c>
      <c r="EO145" s="12">
        <f t="shared" si="136"/>
        <v>233</v>
      </c>
      <c r="EP145" s="12">
        <f t="shared" si="137"/>
        <v>223</v>
      </c>
      <c r="EQ145" s="12">
        <f t="shared" si="138"/>
        <v>213</v>
      </c>
      <c r="ER145" s="12">
        <f t="shared" si="139"/>
        <v>346</v>
      </c>
      <c r="ES145" s="12">
        <f t="shared" si="140"/>
        <v>326</v>
      </c>
      <c r="ET145" s="12">
        <f t="shared" si="141"/>
        <v>203</v>
      </c>
      <c r="EU145" s="12">
        <f t="shared" si="142"/>
        <v>316</v>
      </c>
      <c r="EV145" s="12">
        <f t="shared" si="143"/>
        <v>203</v>
      </c>
      <c r="EW145" s="12">
        <f t="shared" si="144"/>
        <v>183</v>
      </c>
      <c r="EX145" s="12">
        <f t="shared" si="145"/>
        <v>173</v>
      </c>
      <c r="EY145" s="12">
        <f t="shared" si="146"/>
        <v>153</v>
      </c>
      <c r="EZ145" s="12">
        <v>145</v>
      </c>
    </row>
    <row r="146" spans="1:156" ht="13.35" customHeight="1" x14ac:dyDescent="0.2">
      <c r="A146" s="21">
        <f t="shared" si="153"/>
        <v>145</v>
      </c>
      <c r="B146" s="22">
        <f t="shared" si="156"/>
        <v>100</v>
      </c>
      <c r="C146" s="21">
        <f t="shared" si="151"/>
        <v>3115</v>
      </c>
      <c r="E146" s="45"/>
      <c r="F146" s="20" t="s">
        <v>532</v>
      </c>
      <c r="G146" s="20" t="s">
        <v>530</v>
      </c>
      <c r="H146" s="20" t="s">
        <v>562</v>
      </c>
      <c r="I146" s="20" t="s">
        <v>1687</v>
      </c>
      <c r="J146" s="20"/>
      <c r="K146" s="20" t="s">
        <v>604</v>
      </c>
      <c r="L146" s="20" t="s">
        <v>631</v>
      </c>
      <c r="M146" s="20" t="s">
        <v>631</v>
      </c>
      <c r="N146" s="20" t="s">
        <v>631</v>
      </c>
      <c r="O146" s="20" t="s">
        <v>486</v>
      </c>
      <c r="P146" s="20" t="s">
        <v>583</v>
      </c>
      <c r="Q146" s="20" t="s">
        <v>1688</v>
      </c>
      <c r="R146" s="20" t="s">
        <v>1688</v>
      </c>
      <c r="S146" s="20" t="s">
        <v>604</v>
      </c>
      <c r="T146" s="20"/>
      <c r="U146" s="20"/>
      <c r="V146" s="20"/>
      <c r="W146" s="20" t="s">
        <v>486</v>
      </c>
      <c r="X146" s="20"/>
      <c r="Y146" s="20"/>
      <c r="Z146" s="20"/>
      <c r="AA146" s="20"/>
      <c r="AB146" s="20"/>
      <c r="AC146" s="20"/>
      <c r="AD146" s="20"/>
      <c r="AE146" s="20"/>
      <c r="AF146" s="20" t="s">
        <v>1689</v>
      </c>
      <c r="AG146" s="20" t="s">
        <v>1667</v>
      </c>
      <c r="AH146" s="46"/>
      <c r="AI146" s="46"/>
      <c r="AJ146" s="20" t="s">
        <v>693</v>
      </c>
      <c r="AK146" s="20" t="s">
        <v>486</v>
      </c>
      <c r="AL146" s="20" t="s">
        <v>1262</v>
      </c>
      <c r="AM146" s="20" t="s">
        <v>1686</v>
      </c>
      <c r="AN146" s="20"/>
      <c r="AO146" s="20" t="s">
        <v>604</v>
      </c>
      <c r="AP146" s="20" t="s">
        <v>631</v>
      </c>
      <c r="AQ146" s="20"/>
      <c r="AR146" s="20"/>
      <c r="AS146" s="20" t="s">
        <v>1262</v>
      </c>
      <c r="AT146" s="20" t="s">
        <v>1671</v>
      </c>
      <c r="AU146" s="20" t="s">
        <v>1671</v>
      </c>
      <c r="AV146" s="20" t="s">
        <v>1690</v>
      </c>
      <c r="AW146" s="20" t="s">
        <v>1117</v>
      </c>
      <c r="AX146" s="20" t="s">
        <v>534</v>
      </c>
      <c r="AY146" s="20" t="s">
        <v>1691</v>
      </c>
      <c r="AZ146" s="20" t="s">
        <v>1692</v>
      </c>
      <c r="BA146" s="20" t="s">
        <v>1671</v>
      </c>
      <c r="BB146" s="20" t="s">
        <v>552</v>
      </c>
      <c r="BC146" s="20" t="s">
        <v>1693</v>
      </c>
      <c r="BD146" s="20"/>
      <c r="BE146" s="20" t="s">
        <v>1262</v>
      </c>
      <c r="BF146" s="20" t="s">
        <v>1671</v>
      </c>
      <c r="BG146" s="20" t="s">
        <v>1671</v>
      </c>
      <c r="BH146" s="20" t="s">
        <v>1154</v>
      </c>
      <c r="BI146" s="20" t="s">
        <v>552</v>
      </c>
      <c r="BJ146" s="20" t="s">
        <v>1671</v>
      </c>
      <c r="BK146" s="20" t="s">
        <v>662</v>
      </c>
      <c r="BL146" s="20" t="s">
        <v>1694</v>
      </c>
      <c r="BM146" s="20" t="s">
        <v>475</v>
      </c>
      <c r="BN146" s="20" t="s">
        <v>1695</v>
      </c>
      <c r="BO146" s="20" t="s">
        <v>1280</v>
      </c>
      <c r="BP146" s="20"/>
      <c r="BQ146" s="20" t="s">
        <v>404</v>
      </c>
      <c r="BR146" s="20" t="s">
        <v>396</v>
      </c>
      <c r="BS146" s="20" t="s">
        <v>1696</v>
      </c>
      <c r="BT146" s="20" t="s">
        <v>1675</v>
      </c>
      <c r="BU146" s="20" t="s">
        <v>1675</v>
      </c>
      <c r="BV146" s="20" t="s">
        <v>1104</v>
      </c>
      <c r="BW146" s="20" t="s">
        <v>1697</v>
      </c>
      <c r="BX146" s="20" t="s">
        <v>1671</v>
      </c>
      <c r="BY146" s="20" t="s">
        <v>1262</v>
      </c>
      <c r="BZ146" s="20" t="s">
        <v>1117</v>
      </c>
      <c r="CA146" s="20" t="s">
        <v>666</v>
      </c>
      <c r="CB146" s="20" t="s">
        <v>597</v>
      </c>
      <c r="CC146" s="20" t="s">
        <v>1673</v>
      </c>
      <c r="CD146" s="20" t="s">
        <v>1698</v>
      </c>
      <c r="CE146" s="20"/>
      <c r="CF146" s="20" t="s">
        <v>543</v>
      </c>
      <c r="CG146" s="20" t="s">
        <v>1699</v>
      </c>
      <c r="CH146" s="20" t="s">
        <v>1669</v>
      </c>
      <c r="CI146" s="20" t="s">
        <v>1700</v>
      </c>
      <c r="CJ146" s="20" t="s">
        <v>1694</v>
      </c>
      <c r="CK146" s="20" t="s">
        <v>1669</v>
      </c>
      <c r="CL146" s="20" t="s">
        <v>1671</v>
      </c>
      <c r="CM146" s="20" t="s">
        <v>1701</v>
      </c>
      <c r="CN146" s="20" t="s">
        <v>1669</v>
      </c>
      <c r="CO146" s="20" t="s">
        <v>587</v>
      </c>
      <c r="CP146" s="20" t="s">
        <v>1671</v>
      </c>
      <c r="CQ146" s="20" t="s">
        <v>1262</v>
      </c>
      <c r="CR146" s="20"/>
      <c r="CS146" s="20" t="s">
        <v>1683</v>
      </c>
      <c r="CT146" s="20" t="s">
        <v>505</v>
      </c>
      <c r="CU146" s="20" t="s">
        <v>1702</v>
      </c>
      <c r="CV146" s="20" t="s">
        <v>1703</v>
      </c>
      <c r="CW146" s="20"/>
      <c r="CX146" s="20" t="s">
        <v>541</v>
      </c>
      <c r="CY146" s="20" t="s">
        <v>631</v>
      </c>
      <c r="CZ146" s="20" t="s">
        <v>631</v>
      </c>
      <c r="DA146" s="20" t="s">
        <v>1683</v>
      </c>
      <c r="DB146" s="20" t="s">
        <v>604</v>
      </c>
      <c r="DC146" s="20" t="s">
        <v>604</v>
      </c>
      <c r="DD146" s="20" t="s">
        <v>604</v>
      </c>
      <c r="DE146" s="20"/>
      <c r="DF146" s="12">
        <v>3</v>
      </c>
      <c r="DQ146" s="35">
        <v>143</v>
      </c>
      <c r="DR146" s="32">
        <v>91</v>
      </c>
      <c r="DS146" s="73">
        <v>116.5</v>
      </c>
      <c r="DT146" s="71">
        <v>25</v>
      </c>
      <c r="DU146" s="21">
        <v>208</v>
      </c>
      <c r="DV146" s="31">
        <f t="shared" si="154"/>
        <v>243</v>
      </c>
      <c r="DW146" s="30">
        <f t="shared" si="155"/>
        <v>489</v>
      </c>
      <c r="DX146" s="36">
        <v>25</v>
      </c>
      <c r="DY146" s="23">
        <v>161.5</v>
      </c>
      <c r="DZ146" s="12">
        <v>144</v>
      </c>
      <c r="EA146" s="12">
        <f t="shared" si="122"/>
        <v>562</v>
      </c>
      <c r="EB146" s="12">
        <f t="shared" si="123"/>
        <v>646</v>
      </c>
      <c r="EC146" s="12">
        <f t="shared" si="124"/>
        <v>636</v>
      </c>
      <c r="ED146" s="12">
        <f t="shared" si="125"/>
        <v>502</v>
      </c>
      <c r="EE146" s="12">
        <f t="shared" si="126"/>
        <v>378</v>
      </c>
      <c r="EF146" s="12">
        <f t="shared" si="127"/>
        <v>264</v>
      </c>
      <c r="EG146" s="12">
        <f t="shared" si="128"/>
        <v>254</v>
      </c>
      <c r="EH146" s="12">
        <f t="shared" si="129"/>
        <v>254</v>
      </c>
      <c r="EI146" s="12">
        <f t="shared" si="130"/>
        <v>244</v>
      </c>
      <c r="EJ146" s="12">
        <f t="shared" si="131"/>
        <v>234</v>
      </c>
      <c r="EK146" s="12">
        <f t="shared" si="132"/>
        <v>492</v>
      </c>
      <c r="EL146" s="12">
        <f t="shared" si="133"/>
        <v>254</v>
      </c>
      <c r="EM146" s="12">
        <f t="shared" si="134"/>
        <v>244</v>
      </c>
      <c r="EN146" s="12">
        <f t="shared" si="135"/>
        <v>358</v>
      </c>
      <c r="EO146" s="12">
        <f t="shared" si="136"/>
        <v>234</v>
      </c>
      <c r="EP146" s="12">
        <f t="shared" si="137"/>
        <v>224</v>
      </c>
      <c r="EQ146" s="12">
        <f t="shared" si="138"/>
        <v>214</v>
      </c>
      <c r="ER146" s="12">
        <f t="shared" si="139"/>
        <v>348</v>
      </c>
      <c r="ES146" s="12">
        <f t="shared" si="140"/>
        <v>328</v>
      </c>
      <c r="ET146" s="12">
        <f t="shared" si="141"/>
        <v>204</v>
      </c>
      <c r="EU146" s="12">
        <f t="shared" si="142"/>
        <v>318</v>
      </c>
      <c r="EV146" s="12">
        <f t="shared" si="143"/>
        <v>204</v>
      </c>
      <c r="EW146" s="12">
        <f t="shared" si="144"/>
        <v>184</v>
      </c>
      <c r="EX146" s="12">
        <f t="shared" si="145"/>
        <v>174</v>
      </c>
      <c r="EY146" s="12">
        <f t="shared" si="146"/>
        <v>154</v>
      </c>
      <c r="EZ146" s="12">
        <v>146</v>
      </c>
    </row>
    <row r="147" spans="1:156" ht="13.35" customHeight="1" x14ac:dyDescent="0.2">
      <c r="A147" s="21">
        <f t="shared" si="153"/>
        <v>146</v>
      </c>
      <c r="B147" s="22">
        <f t="shared" si="156"/>
        <v>102</v>
      </c>
      <c r="C147" s="21">
        <f t="shared" si="151"/>
        <v>3226</v>
      </c>
      <c r="E147" s="45"/>
      <c r="F147" s="20" t="s">
        <v>629</v>
      </c>
      <c r="G147" s="20" t="s">
        <v>494</v>
      </c>
      <c r="H147" s="20" t="s">
        <v>1664</v>
      </c>
      <c r="I147" s="20"/>
      <c r="J147" s="20"/>
      <c r="K147" s="20" t="s">
        <v>1667</v>
      </c>
      <c r="L147" s="20" t="s">
        <v>1667</v>
      </c>
      <c r="M147" s="20" t="s">
        <v>4006</v>
      </c>
      <c r="N147" s="20" t="s">
        <v>4006</v>
      </c>
      <c r="O147" s="20" t="s">
        <v>535</v>
      </c>
      <c r="P147" s="20" t="s">
        <v>624</v>
      </c>
      <c r="Q147" s="20" t="s">
        <v>1117</v>
      </c>
      <c r="R147" s="20" t="s">
        <v>604</v>
      </c>
      <c r="S147" s="20" t="s">
        <v>1667</v>
      </c>
      <c r="T147" s="20"/>
      <c r="U147" s="20"/>
      <c r="V147" s="20"/>
      <c r="W147" s="20" t="s">
        <v>465</v>
      </c>
      <c r="X147" s="20"/>
      <c r="Y147" s="20"/>
      <c r="Z147" s="20"/>
      <c r="AA147" s="20"/>
      <c r="AB147" s="20"/>
      <c r="AC147" s="20"/>
      <c r="AD147" s="20"/>
      <c r="AE147" s="20"/>
      <c r="AF147" s="20" t="s">
        <v>554</v>
      </c>
      <c r="AG147" s="20" t="s">
        <v>631</v>
      </c>
      <c r="AH147" s="20"/>
      <c r="AI147" s="20"/>
      <c r="AJ147" s="20"/>
      <c r="AK147" s="20" t="s">
        <v>466</v>
      </c>
      <c r="AL147" s="20" t="s">
        <v>1704</v>
      </c>
      <c r="AM147" s="20" t="s">
        <v>475</v>
      </c>
      <c r="AN147" s="20"/>
      <c r="AO147" s="20" t="s">
        <v>1667</v>
      </c>
      <c r="AP147" s="20" t="s">
        <v>4006</v>
      </c>
      <c r="AQ147" s="20"/>
      <c r="AR147" s="20"/>
      <c r="AS147" s="20"/>
      <c r="AT147" s="20" t="s">
        <v>1705</v>
      </c>
      <c r="AU147" s="20" t="s">
        <v>541</v>
      </c>
      <c r="AV147" s="20"/>
      <c r="AW147" s="20" t="s">
        <v>1694</v>
      </c>
      <c r="AX147" s="20" t="s">
        <v>1671</v>
      </c>
      <c r="AY147" s="20" t="s">
        <v>1706</v>
      </c>
      <c r="AZ147" s="20" t="s">
        <v>1707</v>
      </c>
      <c r="BA147" s="20"/>
      <c r="BB147" s="20" t="s">
        <v>1697</v>
      </c>
      <c r="BC147" s="20"/>
      <c r="BD147" s="20"/>
      <c r="BE147" s="20" t="s">
        <v>1697</v>
      </c>
      <c r="BF147" s="20" t="s">
        <v>1705</v>
      </c>
      <c r="BG147" s="20"/>
      <c r="BH147" s="20" t="s">
        <v>1708</v>
      </c>
      <c r="BI147" s="20"/>
      <c r="BJ147" s="20"/>
      <c r="BK147" s="20" t="s">
        <v>1709</v>
      </c>
      <c r="BL147" s="20" t="s">
        <v>1104</v>
      </c>
      <c r="BM147" s="20" t="s">
        <v>1671</v>
      </c>
      <c r="BN147" s="20" t="s">
        <v>461</v>
      </c>
      <c r="BO147" s="20" t="s">
        <v>1671</v>
      </c>
      <c r="BP147" s="20"/>
      <c r="BQ147" s="20"/>
      <c r="BR147" s="20" t="s">
        <v>1675</v>
      </c>
      <c r="BS147" s="20" t="s">
        <v>1710</v>
      </c>
      <c r="BT147" s="20"/>
      <c r="BU147" s="20"/>
      <c r="BV147" s="20" t="s">
        <v>1671</v>
      </c>
      <c r="BW147" s="20"/>
      <c r="BX147" s="20" t="s">
        <v>552</v>
      </c>
      <c r="BY147" s="20"/>
      <c r="BZ147" s="20" t="s">
        <v>1671</v>
      </c>
      <c r="CA147" s="20" t="s">
        <v>1193</v>
      </c>
      <c r="CB147" s="20" t="s">
        <v>615</v>
      </c>
      <c r="CC147" s="20"/>
      <c r="CD147" s="20" t="s">
        <v>1671</v>
      </c>
      <c r="CE147" s="20"/>
      <c r="CF147" s="20" t="s">
        <v>1262</v>
      </c>
      <c r="CG147" s="20" t="s">
        <v>512</v>
      </c>
      <c r="CH147" s="20"/>
      <c r="CI147" s="20" t="s">
        <v>1711</v>
      </c>
      <c r="CJ147" s="20" t="s">
        <v>1712</v>
      </c>
      <c r="CK147" s="20"/>
      <c r="CL147" s="20"/>
      <c r="CM147" s="20" t="s">
        <v>1713</v>
      </c>
      <c r="CN147" s="20" t="s">
        <v>472</v>
      </c>
      <c r="CO147" s="20" t="s">
        <v>543</v>
      </c>
      <c r="CP147" s="20" t="s">
        <v>1669</v>
      </c>
      <c r="CQ147" s="20" t="s">
        <v>1714</v>
      </c>
      <c r="CR147" s="20"/>
      <c r="CS147" s="20" t="s">
        <v>1104</v>
      </c>
      <c r="CT147" s="20" t="s">
        <v>1715</v>
      </c>
      <c r="CU147" s="20" t="s">
        <v>1716</v>
      </c>
      <c r="CV147" s="20" t="s">
        <v>529</v>
      </c>
      <c r="CW147" s="20"/>
      <c r="CX147" s="20" t="s">
        <v>542</v>
      </c>
      <c r="CY147" s="20" t="s">
        <v>4006</v>
      </c>
      <c r="CZ147" s="20" t="s">
        <v>4006</v>
      </c>
      <c r="DA147" s="20" t="s">
        <v>1104</v>
      </c>
      <c r="DB147" s="20" t="s">
        <v>631</v>
      </c>
      <c r="DC147" s="20" t="s">
        <v>631</v>
      </c>
      <c r="DD147" s="20" t="s">
        <v>631</v>
      </c>
      <c r="DE147" s="20"/>
      <c r="DF147" s="12">
        <v>4</v>
      </c>
      <c r="DQ147" s="35">
        <v>144</v>
      </c>
      <c r="DR147" s="32">
        <v>91</v>
      </c>
      <c r="DS147" s="73">
        <v>117</v>
      </c>
      <c r="DT147" s="71">
        <v>25</v>
      </c>
      <c r="DU147" s="21">
        <v>209</v>
      </c>
      <c r="DV147" s="31">
        <f t="shared" si="154"/>
        <v>244</v>
      </c>
      <c r="DW147" s="30">
        <f t="shared" si="155"/>
        <v>492</v>
      </c>
      <c r="DX147" s="36">
        <v>25</v>
      </c>
      <c r="DY147" s="23">
        <v>162</v>
      </c>
      <c r="DZ147" s="12">
        <v>145</v>
      </c>
      <c r="EA147" s="12">
        <f t="shared" si="122"/>
        <v>565</v>
      </c>
      <c r="EB147" s="12">
        <f t="shared" si="123"/>
        <v>650</v>
      </c>
      <c r="EC147" s="12">
        <f t="shared" si="124"/>
        <v>640</v>
      </c>
      <c r="ED147" s="12">
        <f t="shared" si="125"/>
        <v>505</v>
      </c>
      <c r="EE147" s="12">
        <f t="shared" si="126"/>
        <v>380</v>
      </c>
      <c r="EF147" s="12">
        <f t="shared" si="127"/>
        <v>265</v>
      </c>
      <c r="EG147" s="12">
        <f t="shared" si="128"/>
        <v>255</v>
      </c>
      <c r="EH147" s="12">
        <f t="shared" si="129"/>
        <v>255</v>
      </c>
      <c r="EI147" s="12">
        <f t="shared" si="130"/>
        <v>245</v>
      </c>
      <c r="EJ147" s="12">
        <f t="shared" si="131"/>
        <v>235</v>
      </c>
      <c r="EK147" s="12">
        <f t="shared" si="132"/>
        <v>495</v>
      </c>
      <c r="EL147" s="12">
        <f t="shared" si="133"/>
        <v>255</v>
      </c>
      <c r="EM147" s="12">
        <f t="shared" si="134"/>
        <v>245</v>
      </c>
      <c r="EN147" s="12">
        <f t="shared" si="135"/>
        <v>360</v>
      </c>
      <c r="EO147" s="12">
        <f t="shared" si="136"/>
        <v>235</v>
      </c>
      <c r="EP147" s="12">
        <f t="shared" si="137"/>
        <v>225</v>
      </c>
      <c r="EQ147" s="12">
        <f t="shared" si="138"/>
        <v>215</v>
      </c>
      <c r="ER147" s="12">
        <f t="shared" si="139"/>
        <v>350</v>
      </c>
      <c r="ES147" s="12">
        <f t="shared" si="140"/>
        <v>330</v>
      </c>
      <c r="ET147" s="12">
        <f t="shared" si="141"/>
        <v>205</v>
      </c>
      <c r="EU147" s="12">
        <f t="shared" si="142"/>
        <v>320</v>
      </c>
      <c r="EV147" s="12">
        <f t="shared" si="143"/>
        <v>205</v>
      </c>
      <c r="EW147" s="12">
        <f t="shared" si="144"/>
        <v>185</v>
      </c>
      <c r="EX147" s="12">
        <f t="shared" si="145"/>
        <v>175</v>
      </c>
      <c r="EY147" s="12">
        <f t="shared" si="146"/>
        <v>155</v>
      </c>
      <c r="EZ147" s="12">
        <v>147</v>
      </c>
    </row>
    <row r="148" spans="1:156" ht="13.35" customHeight="1" x14ac:dyDescent="0.2">
      <c r="A148" s="21">
        <f t="shared" si="153"/>
        <v>147</v>
      </c>
      <c r="B148" s="22">
        <f t="shared" si="156"/>
        <v>104</v>
      </c>
      <c r="C148" s="21">
        <f t="shared" si="151"/>
        <v>3339</v>
      </c>
      <c r="E148" s="45"/>
      <c r="F148" s="20" t="s">
        <v>1717</v>
      </c>
      <c r="G148" s="20" t="s">
        <v>1718</v>
      </c>
      <c r="H148" s="20" t="s">
        <v>1719</v>
      </c>
      <c r="I148" s="20"/>
      <c r="J148" s="20"/>
      <c r="K148" s="20" t="s">
        <v>631</v>
      </c>
      <c r="L148" s="20"/>
      <c r="M148" s="20"/>
      <c r="N148" s="20" t="s">
        <v>600</v>
      </c>
      <c r="O148" s="20"/>
      <c r="P148" s="20" t="s">
        <v>1720</v>
      </c>
      <c r="Q148" s="20" t="s">
        <v>1720</v>
      </c>
      <c r="R148" s="20" t="s">
        <v>1667</v>
      </c>
      <c r="S148" s="20" t="s">
        <v>631</v>
      </c>
      <c r="T148" s="20"/>
      <c r="U148" s="20"/>
      <c r="V148" s="20"/>
      <c r="W148" s="20" t="s">
        <v>467</v>
      </c>
      <c r="X148" s="20"/>
      <c r="Y148" s="20"/>
      <c r="Z148" s="20"/>
      <c r="AA148" s="20"/>
      <c r="AB148" s="20"/>
      <c r="AC148" s="20"/>
      <c r="AD148" s="20"/>
      <c r="AE148" s="20"/>
      <c r="AF148" s="20"/>
      <c r="AG148" s="20"/>
      <c r="AH148" s="20"/>
      <c r="AI148" s="20"/>
      <c r="AJ148" s="20"/>
      <c r="AK148" s="20" t="s">
        <v>1667</v>
      </c>
      <c r="AL148" s="20" t="s">
        <v>466</v>
      </c>
      <c r="AM148" s="20" t="s">
        <v>600</v>
      </c>
      <c r="AN148" s="20"/>
      <c r="AO148" s="20" t="s">
        <v>631</v>
      </c>
      <c r="AP148" s="20" t="s">
        <v>600</v>
      </c>
      <c r="AQ148" s="20"/>
      <c r="AR148" s="20"/>
      <c r="AS148" s="20"/>
      <c r="AT148" s="20"/>
      <c r="AU148" s="20" t="s">
        <v>472</v>
      </c>
      <c r="AV148" s="20"/>
      <c r="AW148" s="20" t="s">
        <v>1671</v>
      </c>
      <c r="AX148" s="20"/>
      <c r="AY148" s="20"/>
      <c r="AZ148" s="20"/>
      <c r="BA148" s="20"/>
      <c r="BB148" s="20"/>
      <c r="BC148" s="20"/>
      <c r="BD148" s="20"/>
      <c r="BE148" s="20"/>
      <c r="BF148" s="20"/>
      <c r="BG148" s="20"/>
      <c r="BH148" s="20" t="s">
        <v>396</v>
      </c>
      <c r="BI148" s="20"/>
      <c r="BJ148" s="20"/>
      <c r="BK148" s="20" t="s">
        <v>1671</v>
      </c>
      <c r="BL148" s="20" t="s">
        <v>1671</v>
      </c>
      <c r="BM148" s="20" t="s">
        <v>1721</v>
      </c>
      <c r="BN148" s="20"/>
      <c r="BO148" s="20" t="s">
        <v>552</v>
      </c>
      <c r="BP148" s="20"/>
      <c r="BQ148" s="20"/>
      <c r="BR148" s="20"/>
      <c r="BS148" s="20" t="s">
        <v>1722</v>
      </c>
      <c r="BT148" s="20"/>
      <c r="BU148" s="20"/>
      <c r="BV148" s="20"/>
      <c r="BW148" s="20"/>
      <c r="BX148" s="20"/>
      <c r="BY148" s="20"/>
      <c r="BZ148" s="20"/>
      <c r="CA148" s="20" t="s">
        <v>1669</v>
      </c>
      <c r="CB148" s="20" t="s">
        <v>1262</v>
      </c>
      <c r="CC148" s="20"/>
      <c r="CD148" s="20" t="s">
        <v>663</v>
      </c>
      <c r="CE148" s="20"/>
      <c r="CF148" s="20" t="s">
        <v>1698</v>
      </c>
      <c r="CG148" s="20" t="s">
        <v>1117</v>
      </c>
      <c r="CH148" s="20"/>
      <c r="CI148" s="20" t="s">
        <v>1723</v>
      </c>
      <c r="CJ148" s="20" t="s">
        <v>1671</v>
      </c>
      <c r="CK148" s="20"/>
      <c r="CL148" s="20"/>
      <c r="CM148" s="20" t="s">
        <v>1724</v>
      </c>
      <c r="CN148" s="20" t="s">
        <v>1721</v>
      </c>
      <c r="CO148" s="20" t="s">
        <v>1671</v>
      </c>
      <c r="CP148" s="20"/>
      <c r="CQ148" s="20"/>
      <c r="CR148" s="20"/>
      <c r="CS148" s="20" t="s">
        <v>597</v>
      </c>
      <c r="CT148" s="20"/>
      <c r="CU148" s="20"/>
      <c r="CV148" s="20"/>
      <c r="CW148" s="20"/>
      <c r="CX148" s="20" t="s">
        <v>1725</v>
      </c>
      <c r="CY148" s="20"/>
      <c r="CZ148" s="20" t="s">
        <v>1671</v>
      </c>
      <c r="DA148" s="20" t="s">
        <v>597</v>
      </c>
      <c r="DB148" s="20" t="s">
        <v>551</v>
      </c>
      <c r="DC148" s="20" t="s">
        <v>4006</v>
      </c>
      <c r="DD148" s="20" t="s">
        <v>466</v>
      </c>
      <c r="DE148" s="20"/>
      <c r="DF148" s="12">
        <v>5</v>
      </c>
      <c r="DQ148" s="35">
        <v>145</v>
      </c>
      <c r="DR148" s="32">
        <v>92</v>
      </c>
      <c r="DS148" s="73">
        <v>117.5</v>
      </c>
      <c r="DT148" s="71">
        <v>25</v>
      </c>
      <c r="DU148" s="21">
        <v>210</v>
      </c>
      <c r="DV148" s="31">
        <f t="shared" si="154"/>
        <v>245</v>
      </c>
      <c r="DW148" s="30">
        <f t="shared" si="155"/>
        <v>495</v>
      </c>
      <c r="DX148" s="36">
        <v>25</v>
      </c>
      <c r="DY148" s="23">
        <v>162.5</v>
      </c>
      <c r="DZ148" s="12">
        <v>146</v>
      </c>
      <c r="EA148" s="12">
        <f t="shared" si="122"/>
        <v>568</v>
      </c>
      <c r="EB148" s="12">
        <f t="shared" si="123"/>
        <v>654</v>
      </c>
      <c r="EC148" s="12">
        <f t="shared" si="124"/>
        <v>644</v>
      </c>
      <c r="ED148" s="12">
        <f t="shared" si="125"/>
        <v>508</v>
      </c>
      <c r="EE148" s="12">
        <f t="shared" si="126"/>
        <v>382</v>
      </c>
      <c r="EF148" s="12">
        <f t="shared" si="127"/>
        <v>266</v>
      </c>
      <c r="EG148" s="12">
        <f t="shared" si="128"/>
        <v>256</v>
      </c>
      <c r="EH148" s="12">
        <f t="shared" si="129"/>
        <v>256</v>
      </c>
      <c r="EI148" s="12">
        <f t="shared" si="130"/>
        <v>246</v>
      </c>
      <c r="EJ148" s="12">
        <f t="shared" si="131"/>
        <v>236</v>
      </c>
      <c r="EK148" s="12">
        <f t="shared" si="132"/>
        <v>498</v>
      </c>
      <c r="EL148" s="12">
        <f t="shared" si="133"/>
        <v>256</v>
      </c>
      <c r="EM148" s="12">
        <f t="shared" si="134"/>
        <v>246</v>
      </c>
      <c r="EN148" s="12">
        <f t="shared" si="135"/>
        <v>362</v>
      </c>
      <c r="EO148" s="12">
        <f t="shared" si="136"/>
        <v>236</v>
      </c>
      <c r="EP148" s="12">
        <f t="shared" si="137"/>
        <v>226</v>
      </c>
      <c r="EQ148" s="12">
        <f t="shared" si="138"/>
        <v>216</v>
      </c>
      <c r="ER148" s="12">
        <f t="shared" si="139"/>
        <v>352</v>
      </c>
      <c r="ES148" s="12">
        <f t="shared" si="140"/>
        <v>332</v>
      </c>
      <c r="ET148" s="12">
        <f t="shared" si="141"/>
        <v>206</v>
      </c>
      <c r="EU148" s="12">
        <f t="shared" si="142"/>
        <v>322</v>
      </c>
      <c r="EV148" s="12">
        <f t="shared" si="143"/>
        <v>206</v>
      </c>
      <c r="EW148" s="12">
        <f t="shared" si="144"/>
        <v>186</v>
      </c>
      <c r="EX148" s="12">
        <f t="shared" si="145"/>
        <v>176</v>
      </c>
      <c r="EY148" s="12">
        <f t="shared" si="146"/>
        <v>156</v>
      </c>
      <c r="EZ148" s="12">
        <v>148</v>
      </c>
    </row>
    <row r="149" spans="1:156" ht="13.35" customHeight="1" x14ac:dyDescent="0.2">
      <c r="A149" s="21">
        <f t="shared" si="153"/>
        <v>148</v>
      </c>
      <c r="B149" s="22">
        <f t="shared" si="156"/>
        <v>106</v>
      </c>
      <c r="C149" s="21">
        <f t="shared" si="151"/>
        <v>3454</v>
      </c>
      <c r="E149" s="45"/>
      <c r="F149" s="20" t="s">
        <v>568</v>
      </c>
      <c r="G149" s="20"/>
      <c r="H149" s="20"/>
      <c r="I149" s="20"/>
      <c r="J149" s="20"/>
      <c r="K149" s="20"/>
      <c r="L149" s="20"/>
      <c r="M149" s="20"/>
      <c r="N149" s="20"/>
      <c r="O149" s="20"/>
      <c r="P149" s="20" t="s">
        <v>1726</v>
      </c>
      <c r="Q149" s="20" t="s">
        <v>1104</v>
      </c>
      <c r="R149" s="20" t="s">
        <v>631</v>
      </c>
      <c r="S149" s="20" t="s">
        <v>4006</v>
      </c>
      <c r="T149" s="20"/>
      <c r="U149" s="20"/>
      <c r="V149" s="20"/>
      <c r="W149" s="20"/>
      <c r="X149" s="20"/>
      <c r="Y149" s="20"/>
      <c r="Z149" s="20"/>
      <c r="AA149" s="20"/>
      <c r="AB149" s="20"/>
      <c r="AC149" s="20"/>
      <c r="AD149" s="20"/>
      <c r="AE149" s="20"/>
      <c r="AF149" s="20"/>
      <c r="AG149" s="20"/>
      <c r="AH149" s="20"/>
      <c r="AI149" s="20"/>
      <c r="AJ149" s="20"/>
      <c r="AK149" s="20" t="s">
        <v>691</v>
      </c>
      <c r="AL149" s="20" t="s">
        <v>1727</v>
      </c>
      <c r="AM149" s="20" t="s">
        <v>1704</v>
      </c>
      <c r="AN149" s="20"/>
      <c r="AO149" s="20" t="s">
        <v>4006</v>
      </c>
      <c r="AP149" s="20" t="s">
        <v>1671</v>
      </c>
      <c r="AQ149" s="20"/>
      <c r="AR149" s="20"/>
      <c r="AS149" s="20"/>
      <c r="AT149" s="20"/>
      <c r="AU149" s="20" t="s">
        <v>1721</v>
      </c>
      <c r="AV149" s="20"/>
      <c r="AW149" s="20"/>
      <c r="AX149" s="20"/>
      <c r="AY149" s="20"/>
      <c r="AZ149" s="20"/>
      <c r="BA149" s="20"/>
      <c r="BB149" s="20"/>
      <c r="BC149" s="20"/>
      <c r="BD149" s="20"/>
      <c r="BE149" s="20"/>
      <c r="BF149" s="20"/>
      <c r="BG149" s="20"/>
      <c r="BH149" s="20" t="s">
        <v>1109</v>
      </c>
      <c r="BI149" s="20"/>
      <c r="BJ149" s="20"/>
      <c r="BK149" s="20"/>
      <c r="BL149" s="20"/>
      <c r="BM149" s="20" t="s">
        <v>541</v>
      </c>
      <c r="BN149" s="20"/>
      <c r="BO149" s="20"/>
      <c r="BP149" s="20"/>
      <c r="BQ149" s="20"/>
      <c r="BR149" s="20"/>
      <c r="BS149" s="20"/>
      <c r="BT149" s="20"/>
      <c r="BU149" s="20"/>
      <c r="BV149" s="20"/>
      <c r="BW149" s="20"/>
      <c r="BX149" s="20"/>
      <c r="BY149" s="20"/>
      <c r="BZ149" s="20"/>
      <c r="CA149" s="20" t="s">
        <v>1671</v>
      </c>
      <c r="CB149" s="20"/>
      <c r="CC149" s="20"/>
      <c r="CD149" s="20" t="s">
        <v>1728</v>
      </c>
      <c r="CE149" s="20"/>
      <c r="CF149" s="20"/>
      <c r="CG149" s="20" t="s">
        <v>542</v>
      </c>
      <c r="CH149" s="20"/>
      <c r="CI149" s="20"/>
      <c r="CJ149" s="20" t="s">
        <v>552</v>
      </c>
      <c r="CK149" s="20"/>
      <c r="CL149" s="20"/>
      <c r="CM149" s="20"/>
      <c r="CN149" s="20"/>
      <c r="CO149" s="20" t="s">
        <v>1729</v>
      </c>
      <c r="CP149" s="20"/>
      <c r="CQ149" s="20"/>
      <c r="CR149" s="20"/>
      <c r="CS149" s="20"/>
      <c r="CT149" s="20"/>
      <c r="CU149" s="20"/>
      <c r="CV149" s="20"/>
      <c r="CW149" s="20"/>
      <c r="CX149" s="20" t="s">
        <v>1730</v>
      </c>
      <c r="CY149" s="20"/>
      <c r="CZ149" s="20" t="s">
        <v>600</v>
      </c>
      <c r="DA149" s="20"/>
      <c r="DB149" s="20"/>
      <c r="DC149" s="20"/>
      <c r="DD149" s="20"/>
      <c r="DE149" s="20"/>
      <c r="DF149" s="12">
        <v>6</v>
      </c>
      <c r="DQ149" s="35">
        <v>146</v>
      </c>
      <c r="DR149" s="32">
        <v>92</v>
      </c>
      <c r="DS149" s="73">
        <v>118</v>
      </c>
      <c r="DT149" s="71">
        <v>25</v>
      </c>
      <c r="DU149" s="21">
        <v>211</v>
      </c>
      <c r="DV149" s="31">
        <f t="shared" si="154"/>
        <v>246</v>
      </c>
      <c r="DW149" s="30">
        <f t="shared" si="155"/>
        <v>498</v>
      </c>
      <c r="DX149" s="36">
        <v>25</v>
      </c>
      <c r="DY149" s="23">
        <v>163</v>
      </c>
      <c r="DZ149" s="12">
        <v>147</v>
      </c>
      <c r="EA149" s="12">
        <f t="shared" si="122"/>
        <v>571</v>
      </c>
      <c r="EB149" s="12">
        <f t="shared" si="123"/>
        <v>658</v>
      </c>
      <c r="EC149" s="12">
        <f t="shared" si="124"/>
        <v>648</v>
      </c>
      <c r="ED149" s="12">
        <f t="shared" si="125"/>
        <v>511</v>
      </c>
      <c r="EE149" s="12">
        <f t="shared" si="126"/>
        <v>384</v>
      </c>
      <c r="EF149" s="12">
        <f t="shared" si="127"/>
        <v>267</v>
      </c>
      <c r="EG149" s="12">
        <f t="shared" si="128"/>
        <v>257</v>
      </c>
      <c r="EH149" s="12">
        <f t="shared" si="129"/>
        <v>257</v>
      </c>
      <c r="EI149" s="12">
        <f t="shared" si="130"/>
        <v>247</v>
      </c>
      <c r="EJ149" s="12">
        <f t="shared" si="131"/>
        <v>237</v>
      </c>
      <c r="EK149" s="12">
        <f t="shared" si="132"/>
        <v>501</v>
      </c>
      <c r="EL149" s="12">
        <f t="shared" si="133"/>
        <v>257</v>
      </c>
      <c r="EM149" s="12">
        <f t="shared" si="134"/>
        <v>247</v>
      </c>
      <c r="EN149" s="12">
        <f t="shared" si="135"/>
        <v>364</v>
      </c>
      <c r="EO149" s="12">
        <f t="shared" si="136"/>
        <v>237</v>
      </c>
      <c r="EP149" s="12">
        <f t="shared" si="137"/>
        <v>227</v>
      </c>
      <c r="EQ149" s="12">
        <f t="shared" si="138"/>
        <v>217</v>
      </c>
      <c r="ER149" s="12">
        <f t="shared" si="139"/>
        <v>354</v>
      </c>
      <c r="ES149" s="12">
        <f t="shared" si="140"/>
        <v>334</v>
      </c>
      <c r="ET149" s="12">
        <f t="shared" si="141"/>
        <v>207</v>
      </c>
      <c r="EU149" s="12">
        <f t="shared" si="142"/>
        <v>324</v>
      </c>
      <c r="EV149" s="12">
        <f t="shared" si="143"/>
        <v>207</v>
      </c>
      <c r="EW149" s="12">
        <f t="shared" si="144"/>
        <v>187</v>
      </c>
      <c r="EX149" s="12">
        <f t="shared" si="145"/>
        <v>177</v>
      </c>
      <c r="EY149" s="12">
        <f t="shared" si="146"/>
        <v>157</v>
      </c>
      <c r="EZ149" s="12">
        <v>149</v>
      </c>
    </row>
    <row r="150" spans="1:156" ht="13.35" customHeight="1" x14ac:dyDescent="0.2">
      <c r="A150" s="21">
        <f t="shared" si="153"/>
        <v>149</v>
      </c>
      <c r="B150" s="22">
        <f t="shared" si="156"/>
        <v>108</v>
      </c>
      <c r="C150" s="21">
        <f t="shared" si="151"/>
        <v>3571</v>
      </c>
      <c r="E150" s="45"/>
      <c r="F150" s="20" t="s">
        <v>580</v>
      </c>
      <c r="G150" s="20"/>
      <c r="H150" s="20"/>
      <c r="I150" s="20"/>
      <c r="J150" s="20"/>
      <c r="K150" s="20"/>
      <c r="L150" s="20"/>
      <c r="M150" s="20"/>
      <c r="N150" s="20"/>
      <c r="O150" s="20"/>
      <c r="P150" s="20"/>
      <c r="Q150" s="20" t="s">
        <v>1726</v>
      </c>
      <c r="R150" s="20"/>
      <c r="S150" s="20" t="s">
        <v>600</v>
      </c>
      <c r="T150" s="20"/>
      <c r="U150" s="20"/>
      <c r="V150" s="20"/>
      <c r="W150" s="20"/>
      <c r="X150" s="20"/>
      <c r="Y150" s="20"/>
      <c r="Z150" s="20"/>
      <c r="AA150" s="20"/>
      <c r="AB150" s="20"/>
      <c r="AC150" s="20"/>
      <c r="AD150" s="20"/>
      <c r="AE150" s="20"/>
      <c r="AF150" s="20"/>
      <c r="AG150" s="20"/>
      <c r="AH150" s="20"/>
      <c r="AI150" s="20"/>
      <c r="AJ150" s="20"/>
      <c r="AK150" s="20"/>
      <c r="AL150" s="20" t="s">
        <v>486</v>
      </c>
      <c r="AM150" s="20" t="s">
        <v>1731</v>
      </c>
      <c r="AN150" s="20"/>
      <c r="AO150" s="20" t="s">
        <v>1732</v>
      </c>
      <c r="AP150" s="20"/>
      <c r="AQ150" s="20"/>
      <c r="AR150" s="20"/>
      <c r="AS150" s="20"/>
      <c r="AT150" s="20"/>
      <c r="AU150" s="20"/>
      <c r="AV150" s="20"/>
      <c r="AW150" s="20"/>
      <c r="AX150" s="20"/>
      <c r="AY150" s="20"/>
      <c r="AZ150" s="20"/>
      <c r="BA150" s="20"/>
      <c r="BB150" s="20"/>
      <c r="BC150" s="20"/>
      <c r="BD150" s="20"/>
      <c r="BE150" s="20"/>
      <c r="BF150" s="20"/>
      <c r="BG150" s="20"/>
      <c r="BH150" s="20" t="s">
        <v>1671</v>
      </c>
      <c r="BI150" s="20"/>
      <c r="BJ150" s="20"/>
      <c r="BK150" s="20"/>
      <c r="BL150" s="20"/>
      <c r="BM150" s="20" t="s">
        <v>428</v>
      </c>
      <c r="BN150" s="20"/>
      <c r="BO150" s="20"/>
      <c r="BP150" s="20"/>
      <c r="BQ150" s="20"/>
      <c r="BR150" s="20"/>
      <c r="BS150" s="20"/>
      <c r="BT150" s="20"/>
      <c r="BU150" s="20"/>
      <c r="BV150" s="20"/>
      <c r="BW150" s="20"/>
      <c r="BX150" s="20"/>
      <c r="BY150" s="20"/>
      <c r="BZ150" s="20"/>
      <c r="CA150" s="20"/>
      <c r="CB150" s="20"/>
      <c r="CC150" s="20"/>
      <c r="CD150" s="20" t="s">
        <v>1733</v>
      </c>
      <c r="CE150" s="20"/>
      <c r="CF150" s="20"/>
      <c r="CG150" s="20" t="s">
        <v>1734</v>
      </c>
      <c r="CH150" s="20"/>
      <c r="CI150" s="20"/>
      <c r="CJ150" s="20" t="s">
        <v>1669</v>
      </c>
      <c r="CK150" s="20"/>
      <c r="CL150" s="20"/>
      <c r="CM150" s="20"/>
      <c r="CN150" s="20"/>
      <c r="CO150" s="20" t="s">
        <v>511</v>
      </c>
      <c r="CP150" s="20"/>
      <c r="CQ150" s="20"/>
      <c r="CR150" s="20"/>
      <c r="CS150" s="20"/>
      <c r="CT150" s="20"/>
      <c r="CU150" s="20"/>
      <c r="CV150" s="20"/>
      <c r="CW150" s="20"/>
      <c r="CX150" s="20"/>
      <c r="CY150" s="20"/>
      <c r="CZ150" s="20"/>
      <c r="DA150" s="20"/>
      <c r="DB150" s="20"/>
      <c r="DC150" s="20"/>
      <c r="DD150" s="20"/>
      <c r="DE150" s="20"/>
      <c r="DF150" s="12">
        <v>7</v>
      </c>
      <c r="DQ150" s="35">
        <v>147</v>
      </c>
      <c r="DR150" s="32">
        <v>93</v>
      </c>
      <c r="DS150" s="73">
        <v>118.5</v>
      </c>
      <c r="DT150" s="71">
        <v>25</v>
      </c>
      <c r="DU150" s="21">
        <v>212</v>
      </c>
      <c r="DV150" s="31">
        <f t="shared" si="154"/>
        <v>247</v>
      </c>
      <c r="DW150" s="30">
        <f t="shared" si="155"/>
        <v>501</v>
      </c>
      <c r="DX150" s="36">
        <v>25</v>
      </c>
      <c r="DY150" s="23">
        <v>163.5</v>
      </c>
      <c r="DZ150" s="12">
        <v>148</v>
      </c>
      <c r="EA150" s="12">
        <f t="shared" si="122"/>
        <v>574</v>
      </c>
      <c r="EB150" s="12">
        <f t="shared" si="123"/>
        <v>662</v>
      </c>
      <c r="EC150" s="12">
        <f t="shared" si="124"/>
        <v>652</v>
      </c>
      <c r="ED150" s="12">
        <f t="shared" si="125"/>
        <v>514</v>
      </c>
      <c r="EE150" s="12">
        <f t="shared" si="126"/>
        <v>386</v>
      </c>
      <c r="EF150" s="12">
        <f t="shared" si="127"/>
        <v>268</v>
      </c>
      <c r="EG150" s="12">
        <f t="shared" si="128"/>
        <v>258</v>
      </c>
      <c r="EH150" s="12">
        <f t="shared" si="129"/>
        <v>258</v>
      </c>
      <c r="EI150" s="12">
        <f t="shared" si="130"/>
        <v>248</v>
      </c>
      <c r="EJ150" s="12">
        <f t="shared" si="131"/>
        <v>238</v>
      </c>
      <c r="EK150" s="12">
        <f t="shared" si="132"/>
        <v>504</v>
      </c>
      <c r="EL150" s="12">
        <f t="shared" si="133"/>
        <v>258</v>
      </c>
      <c r="EM150" s="12">
        <f t="shared" si="134"/>
        <v>248</v>
      </c>
      <c r="EN150" s="12">
        <f t="shared" si="135"/>
        <v>366</v>
      </c>
      <c r="EO150" s="12">
        <f t="shared" si="136"/>
        <v>238</v>
      </c>
      <c r="EP150" s="12">
        <f t="shared" si="137"/>
        <v>228</v>
      </c>
      <c r="EQ150" s="12">
        <f t="shared" si="138"/>
        <v>218</v>
      </c>
      <c r="ER150" s="12">
        <f t="shared" si="139"/>
        <v>356</v>
      </c>
      <c r="ES150" s="12">
        <f t="shared" si="140"/>
        <v>336</v>
      </c>
      <c r="ET150" s="12">
        <f t="shared" si="141"/>
        <v>208</v>
      </c>
      <c r="EU150" s="12">
        <f t="shared" si="142"/>
        <v>326</v>
      </c>
      <c r="EV150" s="12">
        <f t="shared" si="143"/>
        <v>208</v>
      </c>
      <c r="EW150" s="12">
        <f t="shared" si="144"/>
        <v>188</v>
      </c>
      <c r="EX150" s="12">
        <f t="shared" si="145"/>
        <v>178</v>
      </c>
      <c r="EY150" s="12">
        <f t="shared" si="146"/>
        <v>158</v>
      </c>
      <c r="EZ150" s="12">
        <v>150</v>
      </c>
    </row>
    <row r="151" spans="1:156" ht="13.35" customHeight="1" x14ac:dyDescent="0.2">
      <c r="A151" s="21">
        <f t="shared" si="153"/>
        <v>150</v>
      </c>
      <c r="B151" s="22">
        <f t="shared" si="156"/>
        <v>110</v>
      </c>
      <c r="C151" s="21">
        <f t="shared" si="151"/>
        <v>3690</v>
      </c>
      <c r="E151" s="45"/>
      <c r="F151" s="20"/>
      <c r="G151" s="20"/>
      <c r="H151" s="20"/>
      <c r="I151" s="20"/>
      <c r="J151" s="20"/>
      <c r="K151" s="20"/>
      <c r="L151" s="20"/>
      <c r="M151" s="20"/>
      <c r="N151" s="20"/>
      <c r="O151" s="20"/>
      <c r="P151" s="20"/>
      <c r="Q151" s="20"/>
      <c r="R151" s="20"/>
      <c r="S151" s="20"/>
      <c r="T151" s="20"/>
      <c r="U151" s="20"/>
      <c r="V151" s="20"/>
      <c r="W151" s="20"/>
      <c r="X151" s="20"/>
      <c r="Y151" s="20"/>
      <c r="Z151" s="20"/>
      <c r="AA151" s="20"/>
      <c r="AB151" s="20"/>
      <c r="AC151" s="20"/>
      <c r="AD151" s="20"/>
      <c r="AE151" s="20"/>
      <c r="AF151" s="20"/>
      <c r="AG151" s="20"/>
      <c r="AH151" s="20"/>
      <c r="AI151" s="20"/>
      <c r="AJ151" s="20"/>
      <c r="AK151" s="20"/>
      <c r="AL151" s="20"/>
      <c r="AM151" s="20" t="s">
        <v>486</v>
      </c>
      <c r="AN151" s="20"/>
      <c r="AO151" s="20"/>
      <c r="AP151" s="20"/>
      <c r="AQ151" s="20"/>
      <c r="AR151" s="20"/>
      <c r="AS151" s="20"/>
      <c r="AT151" s="20"/>
      <c r="AU151" s="20"/>
      <c r="AV151" s="20"/>
      <c r="AW151" s="20"/>
      <c r="AX151" s="20"/>
      <c r="AY151" s="20"/>
      <c r="AZ151" s="20"/>
      <c r="BA151" s="20"/>
      <c r="BB151" s="20"/>
      <c r="BC151" s="20"/>
      <c r="BD151" s="20"/>
      <c r="BE151" s="20"/>
      <c r="BF151" s="20"/>
      <c r="BG151" s="20"/>
      <c r="BH151" s="20"/>
      <c r="BI151" s="20"/>
      <c r="BJ151" s="20"/>
      <c r="BK151" s="20"/>
      <c r="BL151" s="20"/>
      <c r="BM151" s="20" t="s">
        <v>1354</v>
      </c>
      <c r="BN151" s="20"/>
      <c r="BO151" s="20"/>
      <c r="BP151" s="20"/>
      <c r="BQ151" s="20"/>
      <c r="BR151" s="20"/>
      <c r="BS151" s="20"/>
      <c r="BT151" s="20"/>
      <c r="BU151" s="20"/>
      <c r="BV151" s="20"/>
      <c r="BW151" s="20"/>
      <c r="BX151" s="20"/>
      <c r="BY151" s="20"/>
      <c r="BZ151" s="20"/>
      <c r="CA151" s="20"/>
      <c r="CB151" s="20"/>
      <c r="CC151" s="20"/>
      <c r="CD151" s="20"/>
      <c r="CE151" s="20"/>
      <c r="CF151" s="20"/>
      <c r="CG151" s="20" t="s">
        <v>1671</v>
      </c>
      <c r="CH151" s="20"/>
      <c r="CI151" s="20"/>
      <c r="CJ151" s="20"/>
      <c r="CK151" s="20"/>
      <c r="CL151" s="20"/>
      <c r="CM151" s="20"/>
      <c r="CN151" s="20"/>
      <c r="CO151" s="20" t="s">
        <v>1115</v>
      </c>
      <c r="CP151" s="20"/>
      <c r="CQ151" s="20"/>
      <c r="CR151" s="20"/>
      <c r="CS151" s="20"/>
      <c r="CT151" s="20"/>
      <c r="CU151" s="20"/>
      <c r="CV151" s="20"/>
      <c r="CW151" s="20"/>
      <c r="CX151" s="20"/>
      <c r="CY151" s="20"/>
      <c r="CZ151" s="20"/>
      <c r="DA151" s="20"/>
      <c r="DB151" s="20"/>
      <c r="DC151" s="20"/>
      <c r="DD151" s="20"/>
      <c r="DE151" s="20"/>
      <c r="DF151" s="12">
        <v>8</v>
      </c>
      <c r="DQ151" s="35">
        <v>148</v>
      </c>
      <c r="DR151" s="32">
        <v>93</v>
      </c>
      <c r="DS151" s="73">
        <v>119</v>
      </c>
      <c r="DT151" s="71">
        <v>25</v>
      </c>
      <c r="DU151" s="21">
        <v>213</v>
      </c>
      <c r="DV151" s="31">
        <f t="shared" si="154"/>
        <v>248</v>
      </c>
      <c r="DW151" s="30">
        <f t="shared" si="155"/>
        <v>504</v>
      </c>
      <c r="DX151" s="36">
        <v>25</v>
      </c>
      <c r="DY151" s="23">
        <v>164</v>
      </c>
      <c r="DZ151" s="12">
        <v>149</v>
      </c>
      <c r="EA151" s="12">
        <f t="shared" si="122"/>
        <v>577</v>
      </c>
      <c r="EB151" s="12">
        <f t="shared" si="123"/>
        <v>666</v>
      </c>
      <c r="EC151" s="12">
        <f t="shared" si="124"/>
        <v>656</v>
      </c>
      <c r="ED151" s="12">
        <f t="shared" si="125"/>
        <v>517</v>
      </c>
      <c r="EE151" s="12">
        <f t="shared" si="126"/>
        <v>388</v>
      </c>
      <c r="EF151" s="12">
        <f t="shared" si="127"/>
        <v>269</v>
      </c>
      <c r="EG151" s="12">
        <f t="shared" si="128"/>
        <v>259</v>
      </c>
      <c r="EH151" s="12">
        <f t="shared" si="129"/>
        <v>259</v>
      </c>
      <c r="EI151" s="12">
        <f t="shared" si="130"/>
        <v>249</v>
      </c>
      <c r="EJ151" s="12">
        <f t="shared" si="131"/>
        <v>239</v>
      </c>
      <c r="EK151" s="12">
        <f t="shared" si="132"/>
        <v>507</v>
      </c>
      <c r="EL151" s="12">
        <f t="shared" si="133"/>
        <v>259</v>
      </c>
      <c r="EM151" s="12">
        <f t="shared" si="134"/>
        <v>249</v>
      </c>
      <c r="EN151" s="12">
        <f t="shared" si="135"/>
        <v>368</v>
      </c>
      <c r="EO151" s="12">
        <f t="shared" si="136"/>
        <v>239</v>
      </c>
      <c r="EP151" s="12">
        <f t="shared" si="137"/>
        <v>229</v>
      </c>
      <c r="EQ151" s="12">
        <f t="shared" si="138"/>
        <v>219</v>
      </c>
      <c r="ER151" s="12">
        <f t="shared" si="139"/>
        <v>358</v>
      </c>
      <c r="ES151" s="12">
        <f t="shared" si="140"/>
        <v>338</v>
      </c>
      <c r="ET151" s="12">
        <f t="shared" si="141"/>
        <v>209</v>
      </c>
      <c r="EU151" s="12">
        <f t="shared" si="142"/>
        <v>328</v>
      </c>
      <c r="EV151" s="12">
        <f t="shared" si="143"/>
        <v>209</v>
      </c>
      <c r="EW151" s="12">
        <f t="shared" si="144"/>
        <v>189</v>
      </c>
      <c r="EX151" s="12">
        <f t="shared" si="145"/>
        <v>179</v>
      </c>
      <c r="EY151" s="12">
        <f t="shared" si="146"/>
        <v>159</v>
      </c>
      <c r="EZ151" s="12">
        <v>151</v>
      </c>
    </row>
    <row r="152" spans="1:156" ht="13.35" customHeight="1" x14ac:dyDescent="0.2">
      <c r="A152" s="21">
        <v>1</v>
      </c>
      <c r="B152" s="21">
        <f>A152+1</f>
        <v>2</v>
      </c>
      <c r="C152" s="21">
        <f>B152+1</f>
        <v>3</v>
      </c>
      <c r="E152" s="45"/>
      <c r="F152" s="20"/>
      <c r="G152" s="20"/>
      <c r="H152" s="20"/>
      <c r="I152" s="20"/>
      <c r="J152" s="20"/>
      <c r="K152" s="20"/>
      <c r="L152" s="20"/>
      <c r="M152" s="20"/>
      <c r="N152" s="20"/>
      <c r="O152" s="20"/>
      <c r="P152" s="20"/>
      <c r="Q152" s="20"/>
      <c r="R152" s="20"/>
      <c r="S152" s="20"/>
      <c r="T152" s="20"/>
      <c r="U152" s="20"/>
      <c r="V152" s="20"/>
      <c r="W152" s="20"/>
      <c r="X152" s="20"/>
      <c r="Y152" s="20"/>
      <c r="Z152" s="20"/>
      <c r="AA152" s="20"/>
      <c r="AB152" s="20"/>
      <c r="AC152" s="20"/>
      <c r="AD152" s="20"/>
      <c r="AE152" s="20"/>
      <c r="AF152" s="20"/>
      <c r="AG152" s="20"/>
      <c r="AH152" s="20"/>
      <c r="AI152" s="20"/>
      <c r="AJ152" s="20"/>
      <c r="AK152" s="20"/>
      <c r="AL152" s="20"/>
      <c r="AM152" s="20"/>
      <c r="AN152" s="20"/>
      <c r="AO152" s="20"/>
      <c r="AP152" s="20"/>
      <c r="AQ152" s="20"/>
      <c r="AR152" s="20"/>
      <c r="AS152" s="20" t="s">
        <v>1735</v>
      </c>
      <c r="AT152" s="20" t="s">
        <v>1736</v>
      </c>
      <c r="AU152" s="20" t="s">
        <v>1737</v>
      </c>
      <c r="AV152" s="20" t="s">
        <v>1738</v>
      </c>
      <c r="AW152" s="20" t="s">
        <v>246</v>
      </c>
      <c r="AX152" s="20" t="s">
        <v>1739</v>
      </c>
      <c r="AY152" s="20" t="s">
        <v>1740</v>
      </c>
      <c r="AZ152" s="20" t="s">
        <v>1741</v>
      </c>
      <c r="BA152" s="20" t="s">
        <v>1742</v>
      </c>
      <c r="BB152" s="20" t="s">
        <v>1743</v>
      </c>
      <c r="BC152" s="20" t="s">
        <v>1736</v>
      </c>
      <c r="BD152" s="20" t="s">
        <v>1744</v>
      </c>
      <c r="BE152" s="20" t="s">
        <v>1745</v>
      </c>
      <c r="BF152" s="20" t="s">
        <v>1746</v>
      </c>
      <c r="BG152" s="20" t="s">
        <v>1744</v>
      </c>
      <c r="BH152" s="20" t="s">
        <v>1737</v>
      </c>
      <c r="BI152" s="20" t="s">
        <v>1747</v>
      </c>
      <c r="BJ152" s="20" t="s">
        <v>246</v>
      </c>
      <c r="BK152" s="20" t="s">
        <v>246</v>
      </c>
      <c r="BL152" s="20" t="s">
        <v>1748</v>
      </c>
      <c r="BM152" s="20" t="s">
        <v>1749</v>
      </c>
      <c r="BN152" s="20" t="s">
        <v>1742</v>
      </c>
      <c r="BO152" s="20" t="s">
        <v>1750</v>
      </c>
      <c r="BP152" s="20" t="s">
        <v>1742</v>
      </c>
      <c r="BQ152" s="20" t="s">
        <v>1742</v>
      </c>
      <c r="BR152" s="20" t="s">
        <v>1742</v>
      </c>
      <c r="BS152" s="20" t="s">
        <v>1742</v>
      </c>
      <c r="BT152" s="20" t="s">
        <v>246</v>
      </c>
      <c r="BU152" s="20" t="s">
        <v>246</v>
      </c>
      <c r="BV152" s="20" t="s">
        <v>1751</v>
      </c>
      <c r="BW152" s="20" t="s">
        <v>246</v>
      </c>
      <c r="BX152" s="20" t="s">
        <v>1750</v>
      </c>
      <c r="BY152" s="20" t="s">
        <v>246</v>
      </c>
      <c r="BZ152" s="20" t="s">
        <v>1752</v>
      </c>
      <c r="CA152" s="20" t="s">
        <v>1753</v>
      </c>
      <c r="CB152" s="20" t="s">
        <v>246</v>
      </c>
      <c r="CC152" s="20" t="s">
        <v>1742</v>
      </c>
      <c r="CD152" s="20" t="s">
        <v>1754</v>
      </c>
      <c r="CE152" s="20" t="s">
        <v>246</v>
      </c>
      <c r="CF152" s="20" t="s">
        <v>1742</v>
      </c>
      <c r="CG152" s="20" t="s">
        <v>1755</v>
      </c>
      <c r="CH152" s="20" t="s">
        <v>246</v>
      </c>
      <c r="CI152" s="20" t="s">
        <v>1736</v>
      </c>
      <c r="CJ152" s="20" t="s">
        <v>1756</v>
      </c>
      <c r="CK152" s="20" t="s">
        <v>246</v>
      </c>
      <c r="CL152" s="20" t="s">
        <v>1757</v>
      </c>
      <c r="CM152" s="20"/>
      <c r="CN152" s="20" t="s">
        <v>1758</v>
      </c>
      <c r="CO152" s="20" t="s">
        <v>586</v>
      </c>
      <c r="CP152" s="20" t="s">
        <v>1759</v>
      </c>
      <c r="CQ152" s="20" t="s">
        <v>1760</v>
      </c>
      <c r="CR152" s="20"/>
      <c r="CS152" s="20"/>
      <c r="CT152" s="20"/>
      <c r="CU152" s="20"/>
      <c r="CV152" s="20"/>
      <c r="CW152" s="20"/>
      <c r="CX152" s="20"/>
      <c r="CY152" s="20"/>
      <c r="CZ152" s="20"/>
      <c r="DA152" s="20"/>
      <c r="DB152" s="20"/>
      <c r="DC152" s="20"/>
      <c r="DD152" s="20"/>
      <c r="DE152" s="20"/>
      <c r="DF152" s="12">
        <v>9</v>
      </c>
      <c r="DQ152" s="35">
        <v>149</v>
      </c>
      <c r="DR152" s="32">
        <v>94</v>
      </c>
      <c r="DS152" s="73">
        <v>119.5</v>
      </c>
      <c r="DT152" s="71">
        <v>25</v>
      </c>
      <c r="DU152" s="21">
        <v>214</v>
      </c>
      <c r="DV152" s="31">
        <f t="shared" si="154"/>
        <v>249</v>
      </c>
      <c r="DW152" s="30">
        <f t="shared" si="155"/>
        <v>507</v>
      </c>
      <c r="DX152" s="36">
        <v>25</v>
      </c>
      <c r="DY152" s="23">
        <v>164.5</v>
      </c>
      <c r="DZ152" s="20">
        <v>150</v>
      </c>
      <c r="EA152" s="12">
        <f t="shared" si="122"/>
        <v>580</v>
      </c>
      <c r="EB152" s="12">
        <f t="shared" si="123"/>
        <v>670</v>
      </c>
      <c r="EC152" s="12">
        <f t="shared" si="124"/>
        <v>660</v>
      </c>
      <c r="ED152" s="12">
        <f t="shared" si="125"/>
        <v>520</v>
      </c>
      <c r="EE152" s="12">
        <f t="shared" si="126"/>
        <v>390</v>
      </c>
      <c r="EF152" s="12">
        <f t="shared" si="127"/>
        <v>270</v>
      </c>
      <c r="EG152" s="12">
        <f t="shared" si="128"/>
        <v>260</v>
      </c>
      <c r="EH152" s="12">
        <f t="shared" si="129"/>
        <v>260</v>
      </c>
      <c r="EI152" s="12">
        <f t="shared" si="130"/>
        <v>250</v>
      </c>
      <c r="EJ152" s="12">
        <f t="shared" si="131"/>
        <v>240</v>
      </c>
      <c r="EK152" s="12">
        <f t="shared" si="132"/>
        <v>510</v>
      </c>
      <c r="EL152" s="12">
        <f t="shared" si="133"/>
        <v>260</v>
      </c>
      <c r="EM152" s="12">
        <f t="shared" si="134"/>
        <v>250</v>
      </c>
      <c r="EN152" s="12">
        <f t="shared" si="135"/>
        <v>370</v>
      </c>
      <c r="EO152" s="12">
        <f t="shared" si="136"/>
        <v>240</v>
      </c>
      <c r="EP152" s="12">
        <f t="shared" si="137"/>
        <v>230</v>
      </c>
      <c r="EQ152" s="12">
        <f t="shared" si="138"/>
        <v>220</v>
      </c>
      <c r="ER152" s="12">
        <f t="shared" si="139"/>
        <v>360</v>
      </c>
      <c r="ES152" s="12">
        <f t="shared" si="140"/>
        <v>340</v>
      </c>
      <c r="ET152" s="12">
        <f t="shared" si="141"/>
        <v>210</v>
      </c>
      <c r="EU152" s="12">
        <f t="shared" si="142"/>
        <v>330</v>
      </c>
      <c r="EV152" s="12">
        <f t="shared" si="143"/>
        <v>210</v>
      </c>
      <c r="EW152" s="12">
        <f t="shared" si="144"/>
        <v>190</v>
      </c>
      <c r="EX152" s="12">
        <f t="shared" si="145"/>
        <v>180</v>
      </c>
      <c r="EY152" s="12">
        <f t="shared" si="146"/>
        <v>160</v>
      </c>
      <c r="EZ152" s="20">
        <v>152</v>
      </c>
    </row>
    <row r="153" spans="1:156" ht="13.35" customHeight="1" x14ac:dyDescent="0.2">
      <c r="E153" s="45"/>
      <c r="F153" s="20"/>
      <c r="G153" s="20"/>
      <c r="H153" s="20"/>
      <c r="I153" s="20"/>
      <c r="J153" s="20"/>
      <c r="K153" s="20"/>
      <c r="L153" s="20"/>
      <c r="M153" s="20"/>
      <c r="N153" s="20"/>
      <c r="O153" s="20"/>
      <c r="P153" s="20"/>
      <c r="Q153" s="20"/>
      <c r="R153" s="20"/>
      <c r="S153" s="20"/>
      <c r="T153" s="20"/>
      <c r="U153" s="20"/>
      <c r="V153" s="20"/>
      <c r="W153" s="20"/>
      <c r="X153" s="20"/>
      <c r="Y153" s="20"/>
      <c r="Z153" s="20"/>
      <c r="AA153" s="20"/>
      <c r="AB153" s="20"/>
      <c r="AC153" s="20"/>
      <c r="AD153" s="20"/>
      <c r="AE153" s="20"/>
      <c r="AF153" s="20"/>
      <c r="AG153" s="20"/>
      <c r="AH153" s="20"/>
      <c r="AI153" s="20"/>
      <c r="AJ153" s="20"/>
      <c r="AK153" s="20"/>
      <c r="AL153" s="20"/>
      <c r="AM153" s="20"/>
      <c r="AN153" s="20"/>
      <c r="AO153" s="20"/>
      <c r="AP153" s="20"/>
      <c r="AQ153" s="20"/>
      <c r="AR153" s="20"/>
      <c r="AS153" s="20"/>
      <c r="AT153" s="20"/>
      <c r="AU153" s="20" t="s">
        <v>1761</v>
      </c>
      <c r="AV153" s="20"/>
      <c r="AW153" s="20"/>
      <c r="AX153" s="20"/>
      <c r="AY153" s="20"/>
      <c r="AZ153" s="20" t="s">
        <v>1762</v>
      </c>
      <c r="BA153" s="20"/>
      <c r="BB153" s="20" t="s">
        <v>1763</v>
      </c>
      <c r="BC153" s="20"/>
      <c r="BD153" s="20"/>
      <c r="BE153" s="20" t="s">
        <v>1764</v>
      </c>
      <c r="BF153" s="20"/>
      <c r="BG153" s="20"/>
      <c r="BH153" s="20" t="s">
        <v>1742</v>
      </c>
      <c r="BI153" s="20"/>
      <c r="BJ153" s="20"/>
      <c r="BK153" s="20"/>
      <c r="BL153" s="20"/>
      <c r="BM153" s="20" t="s">
        <v>472</v>
      </c>
      <c r="BN153" s="20"/>
      <c r="BO153" s="20"/>
      <c r="BP153" s="20"/>
      <c r="BQ153" s="20"/>
      <c r="BR153" s="20"/>
      <c r="BS153" s="20"/>
      <c r="BT153" s="20"/>
      <c r="BU153" s="20"/>
      <c r="BV153" s="20" t="s">
        <v>1765</v>
      </c>
      <c r="BW153" s="20"/>
      <c r="BX153" s="20"/>
      <c r="BY153" s="20"/>
      <c r="BZ153" s="20"/>
      <c r="CA153" s="20" t="s">
        <v>1766</v>
      </c>
      <c r="CB153" s="20"/>
      <c r="CC153" s="20"/>
      <c r="CD153" s="20"/>
      <c r="CE153" s="20"/>
      <c r="CF153" s="20"/>
      <c r="CG153" s="20"/>
      <c r="CH153" s="20"/>
      <c r="CI153" s="20"/>
      <c r="CJ153" s="20"/>
      <c r="CK153" s="20"/>
      <c r="CL153" s="20"/>
      <c r="CM153" s="20"/>
      <c r="CN153" s="20"/>
      <c r="CO153" s="20" t="s">
        <v>1119</v>
      </c>
      <c r="CP153" s="20"/>
      <c r="CQ153" s="20"/>
      <c r="CR153" s="20"/>
      <c r="CS153" s="20"/>
      <c r="CT153" s="20"/>
      <c r="CU153" s="20"/>
      <c r="CV153" s="20"/>
      <c r="CW153" s="20"/>
      <c r="CX153" s="20"/>
      <c r="CY153" s="20"/>
      <c r="CZ153" s="20"/>
      <c r="DA153" s="20"/>
      <c r="DB153" s="20"/>
      <c r="DC153" s="20"/>
      <c r="DD153" s="20"/>
      <c r="DE153" s="20"/>
      <c r="DF153" s="12">
        <v>10</v>
      </c>
      <c r="DQ153" s="35">
        <v>150</v>
      </c>
      <c r="DR153" s="32">
        <v>94</v>
      </c>
      <c r="DS153" s="73">
        <v>120</v>
      </c>
      <c r="DT153" s="71">
        <v>25</v>
      </c>
      <c r="DU153" s="21">
        <v>215</v>
      </c>
      <c r="DV153" s="31">
        <f t="shared" si="154"/>
        <v>250</v>
      </c>
      <c r="DW153" s="30">
        <f t="shared" si="155"/>
        <v>510</v>
      </c>
      <c r="DX153" s="36">
        <v>25</v>
      </c>
      <c r="DY153" s="23">
        <v>165</v>
      </c>
      <c r="DZ153" s="12">
        <v>151</v>
      </c>
      <c r="EA153" s="12">
        <f t="shared" si="122"/>
        <v>583</v>
      </c>
      <c r="EB153" s="12">
        <f t="shared" si="123"/>
        <v>674</v>
      </c>
      <c r="EC153" s="12">
        <f t="shared" si="124"/>
        <v>664</v>
      </c>
      <c r="ED153" s="12">
        <f t="shared" si="125"/>
        <v>523</v>
      </c>
      <c r="EE153" s="12">
        <f t="shared" si="126"/>
        <v>392</v>
      </c>
      <c r="EF153" s="12">
        <f t="shared" si="127"/>
        <v>271</v>
      </c>
      <c r="EG153" s="12">
        <f t="shared" si="128"/>
        <v>261</v>
      </c>
      <c r="EH153" s="12">
        <f t="shared" si="129"/>
        <v>261</v>
      </c>
      <c r="EI153" s="12">
        <f t="shared" si="130"/>
        <v>251</v>
      </c>
      <c r="EJ153" s="12">
        <f t="shared" si="131"/>
        <v>241</v>
      </c>
      <c r="EK153" s="12">
        <f t="shared" si="132"/>
        <v>513</v>
      </c>
      <c r="EL153" s="12">
        <f t="shared" si="133"/>
        <v>261</v>
      </c>
      <c r="EM153" s="12">
        <f t="shared" si="134"/>
        <v>251</v>
      </c>
      <c r="EN153" s="12">
        <f t="shared" si="135"/>
        <v>372</v>
      </c>
      <c r="EO153" s="12">
        <f t="shared" si="136"/>
        <v>241</v>
      </c>
      <c r="EP153" s="12">
        <f t="shared" si="137"/>
        <v>231</v>
      </c>
      <c r="EQ153" s="12">
        <f t="shared" si="138"/>
        <v>221</v>
      </c>
      <c r="ER153" s="12">
        <f t="shared" si="139"/>
        <v>362</v>
      </c>
      <c r="ES153" s="12">
        <f t="shared" si="140"/>
        <v>342</v>
      </c>
      <c r="ET153" s="12">
        <f t="shared" si="141"/>
        <v>211</v>
      </c>
      <c r="EU153" s="12">
        <f t="shared" si="142"/>
        <v>332</v>
      </c>
      <c r="EV153" s="12">
        <f t="shared" si="143"/>
        <v>211</v>
      </c>
      <c r="EW153" s="12">
        <f t="shared" si="144"/>
        <v>191</v>
      </c>
      <c r="EX153" s="12">
        <f t="shared" si="145"/>
        <v>181</v>
      </c>
      <c r="EY153" s="12">
        <f t="shared" si="146"/>
        <v>161</v>
      </c>
      <c r="EZ153" s="12">
        <v>153</v>
      </c>
    </row>
    <row r="154" spans="1:156" ht="13.35" customHeight="1" x14ac:dyDescent="0.2">
      <c r="A154" s="47" t="s">
        <v>1767</v>
      </c>
      <c r="B154" s="48">
        <f>VLOOKUP(Stats!$B$2,Taulukko3[[Race]:[Body Development]],9,0)</f>
        <v>6521</v>
      </c>
      <c r="C154" s="49"/>
      <c r="E154" s="45"/>
      <c r="F154" s="20"/>
      <c r="G154" s="20"/>
      <c r="H154" s="20"/>
      <c r="I154" s="20"/>
      <c r="J154" s="20"/>
      <c r="K154" s="20"/>
      <c r="L154" s="20"/>
      <c r="M154" s="20"/>
      <c r="N154" s="20"/>
      <c r="O154" s="20"/>
      <c r="P154" s="20"/>
      <c r="Q154" s="20"/>
      <c r="R154" s="20"/>
      <c r="S154" s="20"/>
      <c r="T154" s="20"/>
      <c r="U154" s="20"/>
      <c r="V154" s="20"/>
      <c r="W154" s="20"/>
      <c r="X154" s="20"/>
      <c r="Y154" s="20"/>
      <c r="Z154" s="20"/>
      <c r="AA154" s="20"/>
      <c r="AB154" s="20"/>
      <c r="AC154" s="20"/>
      <c r="AD154" s="20"/>
      <c r="AE154" s="20"/>
      <c r="AF154" s="20"/>
      <c r="AG154" s="20"/>
      <c r="AH154" s="20"/>
      <c r="AI154" s="20"/>
      <c r="AJ154" s="20"/>
      <c r="AK154" s="20"/>
      <c r="AL154" s="20"/>
      <c r="AM154" s="20"/>
      <c r="AN154" s="20"/>
      <c r="AO154" s="20"/>
      <c r="AP154" s="20"/>
      <c r="AQ154" s="20"/>
      <c r="AR154" s="20"/>
      <c r="AS154" s="20"/>
      <c r="AT154" s="20"/>
      <c r="AU154" s="20"/>
      <c r="AV154" s="20"/>
      <c r="AW154" s="20"/>
      <c r="AX154" s="20"/>
      <c r="AY154" s="20"/>
      <c r="AZ154" s="20"/>
      <c r="BA154" s="20"/>
      <c r="BB154" s="20"/>
      <c r="BC154" s="20"/>
      <c r="BD154" s="20"/>
      <c r="BE154" s="20"/>
      <c r="BF154" s="20"/>
      <c r="BG154" s="20"/>
      <c r="BH154" s="20"/>
      <c r="BI154" s="20"/>
      <c r="BJ154" s="20"/>
      <c r="BK154" s="20"/>
      <c r="BL154" s="20"/>
      <c r="BM154" s="20"/>
      <c r="BN154" s="20"/>
      <c r="BO154" s="20"/>
      <c r="BP154" s="20"/>
      <c r="BQ154" s="20"/>
      <c r="BR154" s="20"/>
      <c r="BS154" s="20"/>
      <c r="BT154" s="20"/>
      <c r="BU154" s="20"/>
      <c r="BV154" s="20"/>
      <c r="BW154" s="20"/>
      <c r="BX154" s="20"/>
      <c r="BY154" s="20"/>
      <c r="BZ154" s="20"/>
      <c r="CA154" s="20"/>
      <c r="CB154" s="20"/>
      <c r="CC154" s="20"/>
      <c r="CD154" s="20"/>
      <c r="CE154" s="20"/>
      <c r="CF154" s="20"/>
      <c r="CG154" s="20"/>
      <c r="CH154" s="20"/>
      <c r="CI154" s="20"/>
      <c r="CJ154" s="20"/>
      <c r="CK154" s="20"/>
      <c r="CL154" s="20"/>
      <c r="CM154" s="20"/>
      <c r="CN154" s="20"/>
      <c r="CO154" s="20" t="s">
        <v>1768</v>
      </c>
      <c r="CP154" s="20"/>
      <c r="CQ154" s="20"/>
      <c r="CR154" s="20"/>
      <c r="CS154" s="20"/>
      <c r="CT154" s="20"/>
      <c r="CU154" s="20"/>
      <c r="CV154" s="20"/>
      <c r="CW154" s="20"/>
      <c r="CX154" s="20"/>
      <c r="CY154" s="20"/>
      <c r="CZ154" s="20"/>
      <c r="DA154" s="20"/>
      <c r="DB154" s="20"/>
      <c r="DC154" s="20"/>
      <c r="DD154" s="20"/>
      <c r="DE154" s="20"/>
      <c r="DF154" s="12">
        <v>11</v>
      </c>
      <c r="DQ154" s="35">
        <v>151</v>
      </c>
      <c r="DR154" s="32">
        <v>95</v>
      </c>
      <c r="DS154" s="73">
        <v>120.5</v>
      </c>
      <c r="DT154" s="71">
        <v>25</v>
      </c>
      <c r="DU154" s="21">
        <v>216</v>
      </c>
      <c r="DV154" s="31">
        <f t="shared" si="154"/>
        <v>251</v>
      </c>
      <c r="DW154" s="30">
        <f t="shared" si="155"/>
        <v>513</v>
      </c>
      <c r="DX154" s="36">
        <v>25</v>
      </c>
      <c r="DY154" s="23">
        <v>165.5</v>
      </c>
      <c r="DZ154" s="12">
        <v>152</v>
      </c>
      <c r="EA154" s="12">
        <f t="shared" si="122"/>
        <v>586</v>
      </c>
      <c r="EB154" s="12">
        <f t="shared" si="123"/>
        <v>678</v>
      </c>
      <c r="EC154" s="12">
        <f t="shared" si="124"/>
        <v>668</v>
      </c>
      <c r="ED154" s="12">
        <f t="shared" si="125"/>
        <v>526</v>
      </c>
      <c r="EE154" s="12">
        <f t="shared" si="126"/>
        <v>394</v>
      </c>
      <c r="EF154" s="12">
        <f t="shared" si="127"/>
        <v>272</v>
      </c>
      <c r="EG154" s="12">
        <f t="shared" si="128"/>
        <v>262</v>
      </c>
      <c r="EH154" s="12">
        <f t="shared" si="129"/>
        <v>262</v>
      </c>
      <c r="EI154" s="12">
        <f t="shared" si="130"/>
        <v>252</v>
      </c>
      <c r="EJ154" s="12">
        <f t="shared" si="131"/>
        <v>242</v>
      </c>
      <c r="EK154" s="12">
        <f t="shared" si="132"/>
        <v>516</v>
      </c>
      <c r="EL154" s="12">
        <f t="shared" si="133"/>
        <v>262</v>
      </c>
      <c r="EM154" s="12">
        <f t="shared" si="134"/>
        <v>252</v>
      </c>
      <c r="EN154" s="12">
        <f t="shared" si="135"/>
        <v>374</v>
      </c>
      <c r="EO154" s="12">
        <f t="shared" si="136"/>
        <v>242</v>
      </c>
      <c r="EP154" s="12">
        <f t="shared" si="137"/>
        <v>232</v>
      </c>
      <c r="EQ154" s="12">
        <f t="shared" si="138"/>
        <v>222</v>
      </c>
      <c r="ER154" s="12">
        <f t="shared" si="139"/>
        <v>364</v>
      </c>
      <c r="ES154" s="12">
        <f t="shared" si="140"/>
        <v>344</v>
      </c>
      <c r="ET154" s="12">
        <f t="shared" si="141"/>
        <v>212</v>
      </c>
      <c r="EU154" s="12">
        <f t="shared" si="142"/>
        <v>334</v>
      </c>
      <c r="EV154" s="12">
        <f t="shared" si="143"/>
        <v>212</v>
      </c>
      <c r="EW154" s="12">
        <f t="shared" si="144"/>
        <v>192</v>
      </c>
      <c r="EX154" s="12">
        <f t="shared" si="145"/>
        <v>182</v>
      </c>
      <c r="EY154" s="12">
        <f t="shared" si="146"/>
        <v>162</v>
      </c>
      <c r="EZ154" s="12">
        <v>154</v>
      </c>
    </row>
    <row r="155" spans="1:156" ht="13.35" customHeight="1" x14ac:dyDescent="0.2">
      <c r="A155" s="50" t="s">
        <v>1769</v>
      </c>
      <c r="B155" s="12">
        <f>VLOOKUP(Stats!$B$2,Taulukko3[[Race]:[Body Development]],$C$156,0)</f>
        <v>6543</v>
      </c>
      <c r="C155" s="51"/>
      <c r="E155" s="45"/>
      <c r="F155" s="20"/>
      <c r="G155" s="20"/>
      <c r="H155" s="20"/>
      <c r="I155" s="20"/>
      <c r="J155" s="20"/>
      <c r="K155" s="20"/>
      <c r="L155" s="20"/>
      <c r="M155" s="20"/>
      <c r="N155" s="20"/>
      <c r="O155" s="20"/>
      <c r="P155" s="20"/>
      <c r="Q155" s="20"/>
      <c r="R155" s="20"/>
      <c r="S155" s="20"/>
      <c r="T155" s="20"/>
      <c r="U155" s="20"/>
      <c r="V155" s="20"/>
      <c r="W155" s="20"/>
      <c r="X155" s="20"/>
      <c r="Y155" s="20"/>
      <c r="Z155" s="20"/>
      <c r="AA155" s="20"/>
      <c r="AB155" s="20"/>
      <c r="AC155" s="20"/>
      <c r="AD155" s="20"/>
      <c r="AE155" s="20"/>
      <c r="AF155" s="20"/>
      <c r="AG155" s="20"/>
      <c r="AH155" s="20"/>
      <c r="AI155" s="20"/>
      <c r="AJ155" s="20"/>
      <c r="AK155" s="20"/>
      <c r="AL155" s="20"/>
      <c r="AM155" s="20"/>
      <c r="AN155" s="20"/>
      <c r="AO155" s="20"/>
      <c r="AP155" s="20"/>
      <c r="AQ155" s="20"/>
      <c r="AR155" s="20"/>
      <c r="AS155" s="20"/>
      <c r="AT155" s="20"/>
      <c r="AU155" s="20"/>
      <c r="AV155" s="20"/>
      <c r="AW155" s="20"/>
      <c r="AX155" s="20"/>
      <c r="AY155" s="20"/>
      <c r="AZ155" s="20"/>
      <c r="BA155" s="20"/>
      <c r="BB155" s="20"/>
      <c r="BC155" s="20"/>
      <c r="BD155" s="20"/>
      <c r="BE155" s="20"/>
      <c r="BF155" s="20"/>
      <c r="BG155" s="20"/>
      <c r="BH155" s="20"/>
      <c r="BI155" s="20"/>
      <c r="BJ155" s="20"/>
      <c r="BK155" s="20"/>
      <c r="BL155" s="20"/>
      <c r="BM155" s="20"/>
      <c r="BN155" s="20"/>
      <c r="BO155" s="20"/>
      <c r="BP155" s="20"/>
      <c r="BQ155" s="20"/>
      <c r="BR155" s="20"/>
      <c r="BS155" s="20"/>
      <c r="BT155" s="20"/>
      <c r="BU155" s="20"/>
      <c r="BV155" s="20"/>
      <c r="BW155" s="20"/>
      <c r="BX155" s="20"/>
      <c r="BY155" s="20"/>
      <c r="BZ155" s="20"/>
      <c r="CA155" s="20"/>
      <c r="CB155" s="20"/>
      <c r="CC155" s="20"/>
      <c r="CD155" s="20"/>
      <c r="CE155" s="20"/>
      <c r="CF155" s="20"/>
      <c r="CG155" s="20"/>
      <c r="CH155" s="20"/>
      <c r="CI155" s="20"/>
      <c r="CJ155" s="20"/>
      <c r="CK155" s="20"/>
      <c r="CL155" s="20"/>
      <c r="CM155" s="20"/>
      <c r="CN155" s="20"/>
      <c r="CO155" s="20" t="s">
        <v>1770</v>
      </c>
      <c r="CP155" s="20"/>
      <c r="CQ155" s="20"/>
      <c r="CR155" s="20"/>
      <c r="CS155" s="20"/>
      <c r="CT155" s="20"/>
      <c r="CU155" s="20"/>
      <c r="CV155" s="20"/>
      <c r="CW155" s="20"/>
      <c r="CX155" s="20"/>
      <c r="CY155" s="20"/>
      <c r="CZ155" s="20"/>
      <c r="DA155" s="20"/>
      <c r="DB155" s="20"/>
      <c r="DC155" s="20"/>
      <c r="DD155" s="20"/>
      <c r="DE155" s="20"/>
      <c r="DF155" s="12">
        <v>12</v>
      </c>
      <c r="DQ155" s="35">
        <v>152</v>
      </c>
      <c r="DR155" s="32">
        <v>95</v>
      </c>
      <c r="DS155" s="73">
        <v>121</v>
      </c>
      <c r="DT155" s="71">
        <v>25</v>
      </c>
      <c r="DU155" s="21">
        <v>217</v>
      </c>
      <c r="DV155" s="31">
        <f t="shared" si="154"/>
        <v>252</v>
      </c>
      <c r="DW155" s="30">
        <f t="shared" si="155"/>
        <v>516</v>
      </c>
      <c r="DX155" s="36">
        <v>25</v>
      </c>
      <c r="DY155" s="23">
        <v>166</v>
      </c>
      <c r="DZ155" s="12">
        <v>153</v>
      </c>
      <c r="EA155" s="12">
        <f t="shared" si="122"/>
        <v>589</v>
      </c>
      <c r="EB155" s="12">
        <f t="shared" si="123"/>
        <v>682</v>
      </c>
      <c r="EC155" s="12">
        <f t="shared" si="124"/>
        <v>672</v>
      </c>
      <c r="ED155" s="12">
        <f t="shared" si="125"/>
        <v>529</v>
      </c>
      <c r="EE155" s="12">
        <f t="shared" si="126"/>
        <v>396</v>
      </c>
      <c r="EF155" s="12">
        <f t="shared" si="127"/>
        <v>273</v>
      </c>
      <c r="EG155" s="12">
        <f t="shared" si="128"/>
        <v>263</v>
      </c>
      <c r="EH155" s="12">
        <f t="shared" si="129"/>
        <v>263</v>
      </c>
      <c r="EI155" s="12">
        <f t="shared" si="130"/>
        <v>253</v>
      </c>
      <c r="EJ155" s="12">
        <f t="shared" si="131"/>
        <v>243</v>
      </c>
      <c r="EK155" s="12">
        <f t="shared" si="132"/>
        <v>519</v>
      </c>
      <c r="EL155" s="12">
        <f t="shared" si="133"/>
        <v>263</v>
      </c>
      <c r="EM155" s="12">
        <f t="shared" si="134"/>
        <v>253</v>
      </c>
      <c r="EN155" s="12">
        <f t="shared" si="135"/>
        <v>376</v>
      </c>
      <c r="EO155" s="12">
        <f t="shared" si="136"/>
        <v>243</v>
      </c>
      <c r="EP155" s="12">
        <f t="shared" si="137"/>
        <v>233</v>
      </c>
      <c r="EQ155" s="12">
        <f t="shared" si="138"/>
        <v>223</v>
      </c>
      <c r="ER155" s="12">
        <f t="shared" si="139"/>
        <v>366</v>
      </c>
      <c r="ES155" s="12">
        <f t="shared" si="140"/>
        <v>346</v>
      </c>
      <c r="ET155" s="12">
        <f t="shared" si="141"/>
        <v>213</v>
      </c>
      <c r="EU155" s="12">
        <f t="shared" si="142"/>
        <v>336</v>
      </c>
      <c r="EV155" s="12">
        <f t="shared" si="143"/>
        <v>213</v>
      </c>
      <c r="EW155" s="12">
        <f t="shared" si="144"/>
        <v>193</v>
      </c>
      <c r="EX155" s="12">
        <f t="shared" si="145"/>
        <v>183</v>
      </c>
      <c r="EY155" s="12">
        <f t="shared" si="146"/>
        <v>163</v>
      </c>
      <c r="EZ155" s="12">
        <v>155</v>
      </c>
    </row>
    <row r="156" spans="1:156" ht="13.35" customHeight="1" x14ac:dyDescent="0.2">
      <c r="A156" s="50" t="s">
        <v>240</v>
      </c>
      <c r="B156" s="12">
        <v>2</v>
      </c>
      <c r="C156" s="51">
        <f>VLOOKUP(Stats!$C$39,$A$156:$B$162,2,0)</f>
        <v>7</v>
      </c>
      <c r="E156" s="45"/>
      <c r="DQ156" s="35">
        <v>153</v>
      </c>
      <c r="DR156" s="32">
        <v>96</v>
      </c>
      <c r="DS156" s="73">
        <v>121.5</v>
      </c>
      <c r="DT156" s="71">
        <v>25</v>
      </c>
      <c r="DU156" s="21">
        <v>218</v>
      </c>
      <c r="DV156" s="31">
        <f t="shared" si="154"/>
        <v>253</v>
      </c>
      <c r="DW156" s="30">
        <f t="shared" si="155"/>
        <v>519</v>
      </c>
      <c r="DX156" s="36">
        <v>25</v>
      </c>
      <c r="DY156" s="23">
        <v>166.5</v>
      </c>
      <c r="DZ156" s="12">
        <v>154</v>
      </c>
      <c r="EA156" s="12">
        <f t="shared" si="122"/>
        <v>592</v>
      </c>
      <c r="EB156" s="12">
        <f t="shared" si="123"/>
        <v>686</v>
      </c>
      <c r="EC156" s="12">
        <f t="shared" si="124"/>
        <v>676</v>
      </c>
      <c r="ED156" s="12">
        <f t="shared" si="125"/>
        <v>532</v>
      </c>
      <c r="EE156" s="12">
        <f t="shared" si="126"/>
        <v>398</v>
      </c>
      <c r="EF156" s="12">
        <f t="shared" si="127"/>
        <v>274</v>
      </c>
      <c r="EG156" s="12">
        <f t="shared" si="128"/>
        <v>264</v>
      </c>
      <c r="EH156" s="12">
        <f t="shared" si="129"/>
        <v>264</v>
      </c>
      <c r="EI156" s="12">
        <f t="shared" si="130"/>
        <v>254</v>
      </c>
      <c r="EJ156" s="12">
        <f t="shared" si="131"/>
        <v>244</v>
      </c>
      <c r="EK156" s="12">
        <f t="shared" si="132"/>
        <v>522</v>
      </c>
      <c r="EL156" s="12">
        <f t="shared" si="133"/>
        <v>264</v>
      </c>
      <c r="EM156" s="12">
        <f t="shared" si="134"/>
        <v>254</v>
      </c>
      <c r="EN156" s="12">
        <f t="shared" si="135"/>
        <v>378</v>
      </c>
      <c r="EO156" s="12">
        <f t="shared" si="136"/>
        <v>244</v>
      </c>
      <c r="EP156" s="12">
        <f t="shared" si="137"/>
        <v>234</v>
      </c>
      <c r="EQ156" s="12">
        <f t="shared" si="138"/>
        <v>224</v>
      </c>
      <c r="ER156" s="12">
        <f t="shared" si="139"/>
        <v>368</v>
      </c>
      <c r="ES156" s="12">
        <f t="shared" si="140"/>
        <v>348</v>
      </c>
      <c r="ET156" s="12">
        <f t="shared" si="141"/>
        <v>214</v>
      </c>
      <c r="EU156" s="12">
        <f t="shared" si="142"/>
        <v>338</v>
      </c>
      <c r="EV156" s="12">
        <f t="shared" si="143"/>
        <v>214</v>
      </c>
      <c r="EW156" s="12">
        <f t="shared" si="144"/>
        <v>194</v>
      </c>
      <c r="EX156" s="12">
        <f t="shared" si="145"/>
        <v>184</v>
      </c>
      <c r="EY156" s="12">
        <f t="shared" si="146"/>
        <v>164</v>
      </c>
      <c r="EZ156" s="12">
        <v>156</v>
      </c>
    </row>
    <row r="157" spans="1:156" ht="13.35" customHeight="1" x14ac:dyDescent="0.2">
      <c r="A157" s="50" t="s">
        <v>241</v>
      </c>
      <c r="B157" s="12">
        <v>3</v>
      </c>
      <c r="C157" s="51"/>
      <c r="E157" s="45"/>
      <c r="DQ157" s="35">
        <v>154</v>
      </c>
      <c r="DR157" s="32">
        <v>96</v>
      </c>
      <c r="DS157" s="73">
        <v>122</v>
      </c>
      <c r="DT157" s="71">
        <v>25</v>
      </c>
      <c r="DU157" s="21">
        <v>219</v>
      </c>
      <c r="DV157" s="31">
        <f t="shared" si="154"/>
        <v>254</v>
      </c>
      <c r="DW157" s="30">
        <f t="shared" si="155"/>
        <v>522</v>
      </c>
      <c r="DX157" s="36">
        <v>25</v>
      </c>
      <c r="DY157" s="23">
        <v>167</v>
      </c>
      <c r="DZ157" s="12">
        <v>155</v>
      </c>
      <c r="EA157" s="12">
        <f t="shared" si="122"/>
        <v>595</v>
      </c>
      <c r="EB157" s="12">
        <f t="shared" si="123"/>
        <v>690</v>
      </c>
      <c r="EC157" s="12">
        <f t="shared" si="124"/>
        <v>680</v>
      </c>
      <c r="ED157" s="12">
        <f t="shared" si="125"/>
        <v>535</v>
      </c>
      <c r="EE157" s="12">
        <f t="shared" si="126"/>
        <v>400</v>
      </c>
      <c r="EF157" s="12">
        <f t="shared" si="127"/>
        <v>275</v>
      </c>
      <c r="EG157" s="12">
        <f t="shared" si="128"/>
        <v>265</v>
      </c>
      <c r="EH157" s="12">
        <f t="shared" si="129"/>
        <v>265</v>
      </c>
      <c r="EI157" s="12">
        <f t="shared" si="130"/>
        <v>255</v>
      </c>
      <c r="EJ157" s="12">
        <f t="shared" si="131"/>
        <v>245</v>
      </c>
      <c r="EK157" s="12">
        <f t="shared" si="132"/>
        <v>525</v>
      </c>
      <c r="EL157" s="12">
        <f t="shared" si="133"/>
        <v>265</v>
      </c>
      <c r="EM157" s="12">
        <f t="shared" si="134"/>
        <v>255</v>
      </c>
      <c r="EN157" s="12">
        <f t="shared" si="135"/>
        <v>380</v>
      </c>
      <c r="EO157" s="12">
        <f t="shared" si="136"/>
        <v>245</v>
      </c>
      <c r="EP157" s="12">
        <f t="shared" si="137"/>
        <v>235</v>
      </c>
      <c r="EQ157" s="12">
        <f t="shared" si="138"/>
        <v>225</v>
      </c>
      <c r="ER157" s="12">
        <f t="shared" si="139"/>
        <v>370</v>
      </c>
      <c r="ES157" s="12">
        <f t="shared" si="140"/>
        <v>350</v>
      </c>
      <c r="ET157" s="12">
        <f t="shared" si="141"/>
        <v>215</v>
      </c>
      <c r="EU157" s="12">
        <f t="shared" si="142"/>
        <v>340</v>
      </c>
      <c r="EV157" s="12">
        <f t="shared" si="143"/>
        <v>215</v>
      </c>
      <c r="EW157" s="12">
        <f t="shared" si="144"/>
        <v>195</v>
      </c>
      <c r="EX157" s="12">
        <f t="shared" si="145"/>
        <v>185</v>
      </c>
      <c r="EY157" s="12">
        <f t="shared" si="146"/>
        <v>165</v>
      </c>
      <c r="EZ157" s="12">
        <v>157</v>
      </c>
    </row>
    <row r="158" spans="1:156" ht="13.35" customHeight="1" x14ac:dyDescent="0.2">
      <c r="A158" s="50" t="s">
        <v>242</v>
      </c>
      <c r="B158" s="12">
        <v>4</v>
      </c>
      <c r="C158" s="51"/>
      <c r="E158" s="45" t="s">
        <v>1131</v>
      </c>
      <c r="F158" s="12" t="s">
        <v>763</v>
      </c>
      <c r="G158" s="12" t="s">
        <v>764</v>
      </c>
      <c r="H158" s="12" t="s">
        <v>765</v>
      </c>
      <c r="I158" s="12" t="s">
        <v>766</v>
      </c>
      <c r="J158" s="12" t="s">
        <v>767</v>
      </c>
      <c r="K158" s="12" t="s">
        <v>768</v>
      </c>
      <c r="L158" s="12" t="s">
        <v>769</v>
      </c>
      <c r="M158" s="12" t="s">
        <v>770</v>
      </c>
      <c r="N158" s="12" t="s">
        <v>771</v>
      </c>
      <c r="O158" s="12" t="s">
        <v>772</v>
      </c>
      <c r="P158" s="12" t="s">
        <v>773</v>
      </c>
      <c r="Q158" s="12" t="s">
        <v>774</v>
      </c>
      <c r="R158" s="12" t="s">
        <v>775</v>
      </c>
      <c r="S158" s="12" t="s">
        <v>181</v>
      </c>
      <c r="T158" s="12" t="s">
        <v>776</v>
      </c>
      <c r="U158" s="12" t="s">
        <v>777</v>
      </c>
      <c r="V158" s="12" t="s">
        <v>778</v>
      </c>
      <c r="W158" s="12" t="s">
        <v>779</v>
      </c>
      <c r="X158" s="12" t="s">
        <v>780</v>
      </c>
      <c r="Y158" s="12" t="s">
        <v>781</v>
      </c>
      <c r="AA158" s="12" t="str">
        <f>AA144</f>
        <v>Arcanist (AC)</v>
      </c>
      <c r="AB158" s="12" t="str">
        <f>AB144</f>
        <v>Wizard (AC)</v>
      </c>
      <c r="AC158" s="12" t="str">
        <f>AC144</f>
        <v>Chaotic (AC)</v>
      </c>
      <c r="AD158" s="12" t="str">
        <f>AD144</f>
        <v>Magehunter (AC)</v>
      </c>
      <c r="AF158" s="12" t="s">
        <v>786</v>
      </c>
      <c r="AG158" s="12" t="s">
        <v>787</v>
      </c>
      <c r="AH158" s="12" t="s">
        <v>788</v>
      </c>
      <c r="AJ158" s="12" t="s">
        <v>789</v>
      </c>
      <c r="AK158" s="12" t="s">
        <v>790</v>
      </c>
      <c r="AL158" s="12" t="s">
        <v>791</v>
      </c>
      <c r="AM158" s="12" t="s">
        <v>792</v>
      </c>
      <c r="AO158" s="12" t="s">
        <v>793</v>
      </c>
      <c r="AP158" s="12" t="s">
        <v>794</v>
      </c>
      <c r="AQ158" s="12" t="s">
        <v>795</v>
      </c>
      <c r="AS158" s="12" t="s">
        <v>796</v>
      </c>
      <c r="AT158" s="12" t="s">
        <v>797</v>
      </c>
      <c r="AU158" s="12" t="s">
        <v>798</v>
      </c>
      <c r="AV158" s="12" t="s">
        <v>799</v>
      </c>
      <c r="AW158" s="12" t="s">
        <v>800</v>
      </c>
      <c r="AX158" s="12" t="s">
        <v>801</v>
      </c>
      <c r="AY158" s="12" t="s">
        <v>802</v>
      </c>
      <c r="AZ158" s="12" t="s">
        <v>803</v>
      </c>
      <c r="BA158" s="12" t="str">
        <f t="shared" ref="BA158:CQ158" si="158">BA144</f>
        <v>Priest of Culture</v>
      </c>
      <c r="BB158" s="12" t="str">
        <f t="shared" si="158"/>
        <v>Priest of Darkness, Night</v>
      </c>
      <c r="BC158" s="12" t="str">
        <f t="shared" si="158"/>
        <v>Priest of Dawn</v>
      </c>
      <c r="BD158" s="12" t="str">
        <f t="shared" si="158"/>
        <v>Priest of Death</v>
      </c>
      <c r="BE158" s="12" t="str">
        <f t="shared" si="158"/>
        <v>Priest of Disease</v>
      </c>
      <c r="BF158" s="12" t="str">
        <f t="shared" si="158"/>
        <v>Priest of Earth</v>
      </c>
      <c r="BG158" s="12" t="str">
        <f t="shared" si="158"/>
        <v>Priest of Fate, Destiny</v>
      </c>
      <c r="BH158" s="12" t="str">
        <f t="shared" si="158"/>
        <v>Priest of Fertility</v>
      </c>
      <c r="BI158" s="12" t="str">
        <f t="shared" si="158"/>
        <v>Priest of Fire</v>
      </c>
      <c r="BJ158" s="12" t="str">
        <f t="shared" si="158"/>
        <v>Priest of Fortune, Luck</v>
      </c>
      <c r="BK158" s="12" t="str">
        <f t="shared" si="158"/>
        <v>Priest of Guardianship</v>
      </c>
      <c r="BL158" s="12" t="str">
        <f t="shared" si="158"/>
        <v>Priest of Healing</v>
      </c>
      <c r="BM158" s="12" t="str">
        <f t="shared" si="158"/>
        <v>Priest of Hunting</v>
      </c>
      <c r="BN158" s="12" t="str">
        <f t="shared" si="158"/>
        <v>Priest of Justice, Revenge</v>
      </c>
      <c r="BO158" s="12" t="str">
        <f t="shared" si="158"/>
        <v>Priest of Light</v>
      </c>
      <c r="BP158" s="12" t="str">
        <f t="shared" si="158"/>
        <v>Priest of Lightning</v>
      </c>
      <c r="BQ158" s="12" t="str">
        <f t="shared" si="158"/>
        <v>Priest of Literature</v>
      </c>
      <c r="BR158" s="12" t="str">
        <f t="shared" si="158"/>
        <v>Priest of Love</v>
      </c>
      <c r="BS158" s="12" t="str">
        <f t="shared" si="158"/>
        <v>Priest of Magic</v>
      </c>
      <c r="BT158" s="12" t="str">
        <f t="shared" si="158"/>
        <v>Priest of Marriage</v>
      </c>
      <c r="BU158" s="12" t="str">
        <f t="shared" si="158"/>
        <v>Priest of Messengers</v>
      </c>
      <c r="BV158" s="12" t="str">
        <f t="shared" si="158"/>
        <v>Priest of Metalwork</v>
      </c>
      <c r="BW158" s="12" t="str">
        <f t="shared" si="158"/>
        <v>Priest of Mischief/Trickery</v>
      </c>
      <c r="BX158" s="12" t="str">
        <f t="shared" si="158"/>
        <v>Priest of Moon</v>
      </c>
      <c r="BY158" s="12" t="str">
        <f t="shared" si="158"/>
        <v>Priest of Music, Dance</v>
      </c>
      <c r="BZ158" s="12" t="str">
        <f t="shared" si="158"/>
        <v>Priest of Nature</v>
      </c>
      <c r="CA158" s="12" t="str">
        <f t="shared" si="158"/>
        <v>Priest of Ocean, Rivers</v>
      </c>
      <c r="CB158" s="12" t="str">
        <f t="shared" si="158"/>
        <v>Priest of Oracles</v>
      </c>
      <c r="CC158" s="12" t="str">
        <f t="shared" si="158"/>
        <v>Priest of Peace</v>
      </c>
      <c r="CD158" s="12" t="str">
        <f t="shared" si="158"/>
        <v>Priest of Prosperity</v>
      </c>
      <c r="CE158" s="12" t="str">
        <f t="shared" si="158"/>
        <v>Priest of Redemption</v>
      </c>
      <c r="CF158" s="12" t="str">
        <f t="shared" si="158"/>
        <v>Priest of Rulership</v>
      </c>
      <c r="CG158" s="12" t="str">
        <f t="shared" si="158"/>
        <v>Priest of Seasons</v>
      </c>
      <c r="CH158" s="12" t="str">
        <f t="shared" si="158"/>
        <v>Priest of Sky, Weather</v>
      </c>
      <c r="CI158" s="12" t="str">
        <f t="shared" si="158"/>
        <v>Priest of Strength</v>
      </c>
      <c r="CJ158" s="12" t="str">
        <f t="shared" si="158"/>
        <v>Priest of Sun</v>
      </c>
      <c r="CK158" s="12" t="str">
        <f t="shared" si="158"/>
        <v>Priest of Thunder</v>
      </c>
      <c r="CL158" s="12" t="str">
        <f t="shared" si="158"/>
        <v>Priest of Time</v>
      </c>
      <c r="CM158" s="12" t="str">
        <f t="shared" si="158"/>
        <v>Priest of Trade</v>
      </c>
      <c r="CN158" s="12" t="str">
        <f t="shared" si="158"/>
        <v>Priest of Vegetation</v>
      </c>
      <c r="CO158" s="12" t="str">
        <f t="shared" si="158"/>
        <v>Priest of War</v>
      </c>
      <c r="CP158" s="12" t="str">
        <f t="shared" si="158"/>
        <v>Priest of Wind</v>
      </c>
      <c r="CQ158" s="12" t="str">
        <f t="shared" si="158"/>
        <v>Priest of Wisdom</v>
      </c>
      <c r="CS158" s="12" t="str">
        <f>CS144</f>
        <v>Barbarian (FRP)</v>
      </c>
      <c r="CT158" s="12" t="str">
        <f>CT144</f>
        <v>Outrider (FRP)</v>
      </c>
      <c r="CU158" s="12" t="str">
        <f>CU144</f>
        <v>Sage (FRP)</v>
      </c>
      <c r="CV158" s="12" t="str">
        <f>CV144</f>
        <v>Swashbuckler (FRP)</v>
      </c>
      <c r="CX158" s="12" t="s">
        <v>851</v>
      </c>
      <c r="CY158" s="12" t="s">
        <v>852</v>
      </c>
      <c r="CZ158" s="12" t="s">
        <v>853</v>
      </c>
      <c r="DA158" s="12" t="s">
        <v>1129</v>
      </c>
      <c r="DB158" s="12" t="s">
        <v>855</v>
      </c>
      <c r="DC158" s="12" t="s">
        <v>856</v>
      </c>
      <c r="DD158" s="12" t="s">
        <v>857</v>
      </c>
      <c r="DE158" s="12" t="str">
        <f>DE144</f>
        <v>NEW PROF</v>
      </c>
      <c r="DF158" s="12">
        <v>1</v>
      </c>
      <c r="DQ158" s="35">
        <v>155</v>
      </c>
      <c r="DR158" s="32">
        <v>97</v>
      </c>
      <c r="DS158" s="73">
        <v>122.5</v>
      </c>
      <c r="DT158" s="71">
        <v>25</v>
      </c>
      <c r="DU158" s="21">
        <v>220</v>
      </c>
      <c r="DV158" s="31">
        <f t="shared" si="154"/>
        <v>255</v>
      </c>
      <c r="DW158" s="30">
        <f t="shared" si="155"/>
        <v>525</v>
      </c>
      <c r="DX158" s="36">
        <v>25</v>
      </c>
      <c r="DY158" s="23">
        <v>167.5</v>
      </c>
      <c r="DZ158" s="12">
        <v>156</v>
      </c>
      <c r="EA158" s="12">
        <f t="shared" si="122"/>
        <v>598</v>
      </c>
      <c r="EB158" s="12">
        <f t="shared" si="123"/>
        <v>694</v>
      </c>
      <c r="EC158" s="12">
        <f t="shared" si="124"/>
        <v>684</v>
      </c>
      <c r="ED158" s="12">
        <f t="shared" si="125"/>
        <v>538</v>
      </c>
      <c r="EE158" s="12">
        <f t="shared" si="126"/>
        <v>402</v>
      </c>
      <c r="EF158" s="12">
        <f t="shared" si="127"/>
        <v>276</v>
      </c>
      <c r="EG158" s="12">
        <f t="shared" si="128"/>
        <v>266</v>
      </c>
      <c r="EH158" s="12">
        <f t="shared" si="129"/>
        <v>266</v>
      </c>
      <c r="EI158" s="12">
        <f t="shared" si="130"/>
        <v>256</v>
      </c>
      <c r="EJ158" s="12">
        <f t="shared" si="131"/>
        <v>246</v>
      </c>
      <c r="EK158" s="12">
        <f t="shared" si="132"/>
        <v>528</v>
      </c>
      <c r="EL158" s="12">
        <f t="shared" si="133"/>
        <v>266</v>
      </c>
      <c r="EM158" s="12">
        <f t="shared" si="134"/>
        <v>256</v>
      </c>
      <c r="EN158" s="12">
        <f t="shared" si="135"/>
        <v>382</v>
      </c>
      <c r="EO158" s="12">
        <f t="shared" si="136"/>
        <v>246</v>
      </c>
      <c r="EP158" s="12">
        <f t="shared" si="137"/>
        <v>236</v>
      </c>
      <c r="EQ158" s="12">
        <f t="shared" si="138"/>
        <v>226</v>
      </c>
      <c r="ER158" s="12">
        <f t="shared" si="139"/>
        <v>372</v>
      </c>
      <c r="ES158" s="12">
        <f t="shared" si="140"/>
        <v>352</v>
      </c>
      <c r="ET158" s="12">
        <f t="shared" si="141"/>
        <v>216</v>
      </c>
      <c r="EU158" s="12">
        <f t="shared" si="142"/>
        <v>342</v>
      </c>
      <c r="EV158" s="12">
        <f t="shared" si="143"/>
        <v>216</v>
      </c>
      <c r="EW158" s="12">
        <f t="shared" si="144"/>
        <v>196</v>
      </c>
      <c r="EX158" s="12">
        <f t="shared" si="145"/>
        <v>186</v>
      </c>
      <c r="EY158" s="12">
        <f t="shared" si="146"/>
        <v>166</v>
      </c>
      <c r="EZ158" s="12">
        <v>158</v>
      </c>
    </row>
    <row r="159" spans="1:156" ht="13.35" customHeight="1" x14ac:dyDescent="0.2">
      <c r="A159" s="50" t="s">
        <v>868</v>
      </c>
      <c r="B159" s="12">
        <v>5</v>
      </c>
      <c r="C159" s="51"/>
      <c r="E159" s="45"/>
      <c r="F159" s="46" t="s">
        <v>4006</v>
      </c>
      <c r="G159" s="46" t="s">
        <v>4006</v>
      </c>
      <c r="H159" s="46" t="s">
        <v>4006</v>
      </c>
      <c r="I159" s="46" t="s">
        <v>568</v>
      </c>
      <c r="J159" s="46" t="s">
        <v>4006</v>
      </c>
      <c r="K159" s="46"/>
      <c r="L159" s="46" t="s">
        <v>246</v>
      </c>
      <c r="M159" s="46" t="s">
        <v>1377</v>
      </c>
      <c r="N159" s="46" t="s">
        <v>1377</v>
      </c>
      <c r="O159" s="46" t="s">
        <v>246</v>
      </c>
      <c r="P159" s="46" t="s">
        <v>246</v>
      </c>
      <c r="Q159" s="46" t="s">
        <v>246</v>
      </c>
      <c r="R159" s="46" t="s">
        <v>246</v>
      </c>
      <c r="S159" s="46" t="s">
        <v>246</v>
      </c>
      <c r="T159" s="46" t="s">
        <v>246</v>
      </c>
      <c r="U159" s="46" t="s">
        <v>246</v>
      </c>
      <c r="V159" s="46" t="s">
        <v>246</v>
      </c>
      <c r="W159" s="46" t="s">
        <v>246</v>
      </c>
      <c r="X159" s="46" t="s">
        <v>246</v>
      </c>
      <c r="Y159" s="46" t="s">
        <v>246</v>
      </c>
      <c r="Z159" s="46"/>
      <c r="AA159" s="46" t="s">
        <v>246</v>
      </c>
      <c r="AB159" s="46" t="s">
        <v>246</v>
      </c>
      <c r="AC159" s="46" t="s">
        <v>246</v>
      </c>
      <c r="AD159" s="46" t="s">
        <v>246</v>
      </c>
      <c r="AE159" s="46"/>
      <c r="AF159" s="46" t="s">
        <v>524</v>
      </c>
      <c r="AG159" s="46" t="s">
        <v>246</v>
      </c>
      <c r="AH159" s="46" t="s">
        <v>246</v>
      </c>
      <c r="AI159" s="46"/>
      <c r="AJ159" s="46" t="s">
        <v>246</v>
      </c>
      <c r="AK159" s="46" t="s">
        <v>246</v>
      </c>
      <c r="AL159" s="46" t="s">
        <v>246</v>
      </c>
      <c r="AM159" s="46" t="s">
        <v>246</v>
      </c>
      <c r="AN159" s="46"/>
      <c r="AO159" s="46" t="s">
        <v>246</v>
      </c>
      <c r="AP159" s="46" t="s">
        <v>246</v>
      </c>
      <c r="AQ159" s="46" t="s">
        <v>246</v>
      </c>
      <c r="AR159" s="46"/>
      <c r="AS159" s="46" t="s">
        <v>246</v>
      </c>
      <c r="AT159" s="46" t="s">
        <v>246</v>
      </c>
      <c r="AU159" s="46" t="s">
        <v>246</v>
      </c>
      <c r="AV159" s="46" t="s">
        <v>246</v>
      </c>
      <c r="AW159" s="46" t="s">
        <v>246</v>
      </c>
      <c r="AX159" s="46" t="s">
        <v>246</v>
      </c>
      <c r="AY159" s="46" t="s">
        <v>246</v>
      </c>
      <c r="AZ159" s="46" t="s">
        <v>246</v>
      </c>
      <c r="BA159" s="46" t="s">
        <v>246</v>
      </c>
      <c r="BB159" s="46" t="s">
        <v>246</v>
      </c>
      <c r="BC159" s="46" t="s">
        <v>246</v>
      </c>
      <c r="BD159" s="46" t="s">
        <v>246</v>
      </c>
      <c r="BE159" s="46" t="s">
        <v>246</v>
      </c>
      <c r="BF159" s="46" t="s">
        <v>246</v>
      </c>
      <c r="BG159" s="46" t="s">
        <v>246</v>
      </c>
      <c r="BH159" s="46" t="s">
        <v>246</v>
      </c>
      <c r="BI159" s="46" t="s">
        <v>246</v>
      </c>
      <c r="BJ159" s="46" t="s">
        <v>246</v>
      </c>
      <c r="BK159" s="46" t="s">
        <v>246</v>
      </c>
      <c r="BL159" s="46" t="s">
        <v>246</v>
      </c>
      <c r="BM159" s="46" t="s">
        <v>246</v>
      </c>
      <c r="BN159" s="46" t="s">
        <v>246</v>
      </c>
      <c r="BO159" s="46" t="s">
        <v>246</v>
      </c>
      <c r="BP159" s="46" t="s">
        <v>246</v>
      </c>
      <c r="BQ159" s="46" t="s">
        <v>246</v>
      </c>
      <c r="BR159" s="46" t="s">
        <v>487</v>
      </c>
      <c r="BS159" s="46" t="s">
        <v>1771</v>
      </c>
      <c r="BT159" s="46" t="s">
        <v>246</v>
      </c>
      <c r="BU159" s="46" t="s">
        <v>246</v>
      </c>
      <c r="BV159" s="46" t="s">
        <v>246</v>
      </c>
      <c r="BW159" s="46" t="s">
        <v>246</v>
      </c>
      <c r="BX159" s="46" t="s">
        <v>246</v>
      </c>
      <c r="BY159" s="46" t="s">
        <v>246</v>
      </c>
      <c r="BZ159" s="46" t="s">
        <v>246</v>
      </c>
      <c r="CA159" s="46" t="s">
        <v>246</v>
      </c>
      <c r="CB159" s="46" t="s">
        <v>246</v>
      </c>
      <c r="CC159" s="46" t="s">
        <v>246</v>
      </c>
      <c r="CD159" s="46" t="s">
        <v>246</v>
      </c>
      <c r="CE159" s="46" t="s">
        <v>246</v>
      </c>
      <c r="CF159" s="46" t="s">
        <v>246</v>
      </c>
      <c r="CG159" s="46" t="s">
        <v>246</v>
      </c>
      <c r="CH159" s="46" t="s">
        <v>246</v>
      </c>
      <c r="CI159" s="46" t="s">
        <v>246</v>
      </c>
      <c r="CJ159" s="46" t="s">
        <v>246</v>
      </c>
      <c r="CK159" s="46" t="s">
        <v>246</v>
      </c>
      <c r="CL159" s="46" t="s">
        <v>246</v>
      </c>
      <c r="CM159" s="46" t="s">
        <v>246</v>
      </c>
      <c r="CN159" s="46" t="s">
        <v>246</v>
      </c>
      <c r="CO159" s="46" t="s">
        <v>246</v>
      </c>
      <c r="CP159" s="46" t="s">
        <v>246</v>
      </c>
      <c r="CQ159" s="46" t="s">
        <v>246</v>
      </c>
      <c r="CR159" s="46"/>
      <c r="CS159" s="46" t="s">
        <v>4006</v>
      </c>
      <c r="CT159" s="46" t="s">
        <v>4006</v>
      </c>
      <c r="CU159" s="46" t="s">
        <v>4006</v>
      </c>
      <c r="CV159" s="46" t="s">
        <v>4006</v>
      </c>
      <c r="CW159" s="46"/>
      <c r="CX159" s="46" t="s">
        <v>246</v>
      </c>
      <c r="CY159" s="46" t="s">
        <v>246</v>
      </c>
      <c r="CZ159" s="46" t="s">
        <v>246</v>
      </c>
      <c r="DA159" s="46" t="s">
        <v>4006</v>
      </c>
      <c r="DB159" s="46" t="s">
        <v>246</v>
      </c>
      <c r="DC159" s="46" t="s">
        <v>246</v>
      </c>
      <c r="DD159" s="46" t="s">
        <v>246</v>
      </c>
      <c r="DE159" s="46"/>
      <c r="DF159" s="12">
        <v>2</v>
      </c>
      <c r="DQ159" s="35">
        <v>156</v>
      </c>
      <c r="DR159" s="32">
        <v>97</v>
      </c>
      <c r="DS159" s="73">
        <v>123</v>
      </c>
      <c r="DT159" s="71">
        <v>25</v>
      </c>
      <c r="DU159" s="21">
        <v>221</v>
      </c>
      <c r="DV159" s="31">
        <f t="shared" si="154"/>
        <v>256</v>
      </c>
      <c r="DW159" s="30">
        <f t="shared" si="155"/>
        <v>528</v>
      </c>
      <c r="DX159" s="36">
        <v>25</v>
      </c>
      <c r="DY159" s="23">
        <v>168</v>
      </c>
      <c r="DZ159" s="12">
        <v>157</v>
      </c>
      <c r="EA159" s="12">
        <f t="shared" si="122"/>
        <v>601</v>
      </c>
      <c r="EB159" s="12">
        <f t="shared" si="123"/>
        <v>698</v>
      </c>
      <c r="EC159" s="12">
        <f t="shared" si="124"/>
        <v>688</v>
      </c>
      <c r="ED159" s="12">
        <f t="shared" si="125"/>
        <v>541</v>
      </c>
      <c r="EE159" s="12">
        <f t="shared" si="126"/>
        <v>404</v>
      </c>
      <c r="EF159" s="12">
        <f t="shared" si="127"/>
        <v>277</v>
      </c>
      <c r="EG159" s="12">
        <f t="shared" si="128"/>
        <v>267</v>
      </c>
      <c r="EH159" s="12">
        <f t="shared" si="129"/>
        <v>267</v>
      </c>
      <c r="EI159" s="12">
        <f t="shared" si="130"/>
        <v>257</v>
      </c>
      <c r="EJ159" s="12">
        <f t="shared" si="131"/>
        <v>247</v>
      </c>
      <c r="EK159" s="12">
        <f t="shared" si="132"/>
        <v>531</v>
      </c>
      <c r="EL159" s="12">
        <f t="shared" si="133"/>
        <v>267</v>
      </c>
      <c r="EM159" s="12">
        <f t="shared" si="134"/>
        <v>257</v>
      </c>
      <c r="EN159" s="12">
        <f t="shared" si="135"/>
        <v>384</v>
      </c>
      <c r="EO159" s="12">
        <f t="shared" si="136"/>
        <v>247</v>
      </c>
      <c r="EP159" s="12">
        <f t="shared" si="137"/>
        <v>237</v>
      </c>
      <c r="EQ159" s="12">
        <f t="shared" si="138"/>
        <v>227</v>
      </c>
      <c r="ER159" s="12">
        <f t="shared" si="139"/>
        <v>374</v>
      </c>
      <c r="ES159" s="12">
        <f t="shared" si="140"/>
        <v>354</v>
      </c>
      <c r="ET159" s="12">
        <f t="shared" si="141"/>
        <v>217</v>
      </c>
      <c r="EU159" s="12">
        <f t="shared" si="142"/>
        <v>344</v>
      </c>
      <c r="EV159" s="12">
        <f t="shared" si="143"/>
        <v>217</v>
      </c>
      <c r="EW159" s="12">
        <f t="shared" si="144"/>
        <v>197</v>
      </c>
      <c r="EX159" s="12">
        <f t="shared" si="145"/>
        <v>187</v>
      </c>
      <c r="EY159" s="12">
        <f t="shared" si="146"/>
        <v>167</v>
      </c>
      <c r="EZ159" s="12">
        <v>159</v>
      </c>
    </row>
    <row r="160" spans="1:156" ht="13.35" customHeight="1" thickBot="1" x14ac:dyDescent="0.25">
      <c r="A160" s="50" t="s">
        <v>1371</v>
      </c>
      <c r="B160" s="12">
        <v>6</v>
      </c>
      <c r="C160" s="51"/>
      <c r="E160" s="45"/>
      <c r="F160" s="46"/>
      <c r="G160" s="46"/>
      <c r="H160" s="46"/>
      <c r="I160" s="46" t="s">
        <v>580</v>
      </c>
      <c r="J160" s="46"/>
      <c r="K160" s="46"/>
      <c r="L160" s="46"/>
      <c r="M160" s="46"/>
      <c r="N160" s="46"/>
      <c r="O160" s="46"/>
      <c r="P160" s="46"/>
      <c r="Q160" s="46"/>
      <c r="R160" s="46"/>
      <c r="S160" s="46"/>
      <c r="T160" s="46"/>
      <c r="U160" s="46"/>
      <c r="V160" s="46"/>
      <c r="W160" s="46"/>
      <c r="X160" s="46"/>
      <c r="Y160" s="46"/>
      <c r="Z160" s="46"/>
      <c r="AA160" s="46"/>
      <c r="AB160" s="46"/>
      <c r="AC160" s="46"/>
      <c r="AD160" s="46"/>
      <c r="AE160" s="46"/>
      <c r="AF160" s="46"/>
      <c r="AG160" s="46"/>
      <c r="AH160" s="46"/>
      <c r="AI160" s="46"/>
      <c r="AJ160" s="46"/>
      <c r="AK160" s="46"/>
      <c r="AL160" s="46"/>
      <c r="AM160" s="46"/>
      <c r="AN160" s="46"/>
      <c r="AO160" s="46"/>
      <c r="AP160" s="46"/>
      <c r="AQ160" s="46"/>
      <c r="AR160" s="46"/>
      <c r="AS160" s="46"/>
      <c r="AT160" s="46"/>
      <c r="AU160" s="46"/>
      <c r="AV160" s="46"/>
      <c r="AW160" s="46"/>
      <c r="AX160" s="46"/>
      <c r="AY160" s="46"/>
      <c r="AZ160" s="46"/>
      <c r="BA160" s="46"/>
      <c r="BB160" s="46"/>
      <c r="BC160" s="46"/>
      <c r="BD160" s="46"/>
      <c r="BE160" s="46"/>
      <c r="BF160" s="46"/>
      <c r="BG160" s="46"/>
      <c r="BH160" s="46"/>
      <c r="BI160" s="46"/>
      <c r="BJ160" s="46"/>
      <c r="BK160" s="46"/>
      <c r="BL160" s="46"/>
      <c r="BM160" s="46"/>
      <c r="BN160" s="46"/>
      <c r="BO160" s="46"/>
      <c r="BP160" s="46"/>
      <c r="BQ160" s="46"/>
      <c r="BR160" s="46"/>
      <c r="BS160" s="46"/>
      <c r="BT160" s="46"/>
      <c r="BU160" s="46"/>
      <c r="BV160" s="46"/>
      <c r="BW160" s="46"/>
      <c r="BX160" s="46"/>
      <c r="BY160" s="46"/>
      <c r="BZ160" s="46"/>
      <c r="CA160" s="46"/>
      <c r="CB160" s="46"/>
      <c r="CC160" s="46"/>
      <c r="CD160" s="46"/>
      <c r="CE160" s="46"/>
      <c r="CF160" s="46"/>
      <c r="CG160" s="46"/>
      <c r="CH160" s="46"/>
      <c r="CI160" s="46"/>
      <c r="CJ160" s="46"/>
      <c r="CK160" s="46"/>
      <c r="CL160" s="46"/>
      <c r="CM160" s="46"/>
      <c r="CN160" s="46"/>
      <c r="CO160" s="46"/>
      <c r="CP160" s="46"/>
      <c r="CQ160" s="46"/>
      <c r="CR160" s="46"/>
      <c r="CS160" s="46" t="s">
        <v>1772</v>
      </c>
      <c r="CT160" s="46"/>
      <c r="CU160" s="46"/>
      <c r="CV160" s="46"/>
      <c r="CW160" s="46"/>
      <c r="CX160" s="46"/>
      <c r="CY160" s="46"/>
      <c r="CZ160" s="46"/>
      <c r="DA160" s="46" t="s">
        <v>1773</v>
      </c>
      <c r="DB160" s="46"/>
      <c r="DC160" s="46"/>
      <c r="DD160" s="46"/>
      <c r="DE160" s="46"/>
      <c r="DF160" s="12">
        <v>3</v>
      </c>
      <c r="DQ160" s="35">
        <v>157</v>
      </c>
      <c r="DR160" s="32">
        <v>98</v>
      </c>
      <c r="DS160" s="73">
        <v>123.5</v>
      </c>
      <c r="DT160" s="71">
        <v>25</v>
      </c>
      <c r="DU160" s="21">
        <v>222</v>
      </c>
      <c r="DV160" s="31">
        <f t="shared" si="154"/>
        <v>257</v>
      </c>
      <c r="DW160" s="30">
        <f t="shared" si="155"/>
        <v>531</v>
      </c>
      <c r="DX160" s="36">
        <v>25</v>
      </c>
      <c r="DY160" s="23">
        <v>168.5</v>
      </c>
      <c r="DZ160" s="12">
        <v>158</v>
      </c>
      <c r="EA160" s="12">
        <f t="shared" si="122"/>
        <v>604</v>
      </c>
      <c r="EB160" s="12">
        <f t="shared" si="123"/>
        <v>702</v>
      </c>
      <c r="EC160" s="12">
        <f t="shared" si="124"/>
        <v>692</v>
      </c>
      <c r="ED160" s="12">
        <f t="shared" si="125"/>
        <v>544</v>
      </c>
      <c r="EE160" s="12">
        <f t="shared" si="126"/>
        <v>406</v>
      </c>
      <c r="EF160" s="12">
        <f t="shared" si="127"/>
        <v>278</v>
      </c>
      <c r="EG160" s="12">
        <f t="shared" si="128"/>
        <v>268</v>
      </c>
      <c r="EH160" s="12">
        <f t="shared" si="129"/>
        <v>268</v>
      </c>
      <c r="EI160" s="12">
        <f t="shared" si="130"/>
        <v>258</v>
      </c>
      <c r="EJ160" s="12">
        <f t="shared" si="131"/>
        <v>248</v>
      </c>
      <c r="EK160" s="12">
        <f t="shared" si="132"/>
        <v>534</v>
      </c>
      <c r="EL160" s="12">
        <f t="shared" si="133"/>
        <v>268</v>
      </c>
      <c r="EM160" s="12">
        <f t="shared" si="134"/>
        <v>258</v>
      </c>
      <c r="EN160" s="12">
        <f t="shared" si="135"/>
        <v>386</v>
      </c>
      <c r="EO160" s="12">
        <f t="shared" si="136"/>
        <v>248</v>
      </c>
      <c r="EP160" s="12">
        <f t="shared" si="137"/>
        <v>238</v>
      </c>
      <c r="EQ160" s="12">
        <f t="shared" si="138"/>
        <v>228</v>
      </c>
      <c r="ER160" s="12">
        <f t="shared" si="139"/>
        <v>376</v>
      </c>
      <c r="ES160" s="12">
        <f t="shared" si="140"/>
        <v>356</v>
      </c>
      <c r="ET160" s="12">
        <f t="shared" si="141"/>
        <v>218</v>
      </c>
      <c r="EU160" s="12">
        <f t="shared" si="142"/>
        <v>346</v>
      </c>
      <c r="EV160" s="12">
        <f t="shared" si="143"/>
        <v>218</v>
      </c>
      <c r="EW160" s="12">
        <f t="shared" si="144"/>
        <v>198</v>
      </c>
      <c r="EX160" s="12">
        <f t="shared" si="145"/>
        <v>188</v>
      </c>
      <c r="EY160" s="12">
        <f t="shared" si="146"/>
        <v>168</v>
      </c>
      <c r="EZ160" s="12">
        <v>160</v>
      </c>
    </row>
    <row r="161" spans="1:173" s="46" customFormat="1" ht="13.35" customHeight="1" thickBot="1" x14ac:dyDescent="0.25">
      <c r="A161" s="50" t="s">
        <v>870</v>
      </c>
      <c r="B161" s="12">
        <v>7</v>
      </c>
      <c r="C161" s="51"/>
      <c r="D161" s="12"/>
      <c r="E161" s="45"/>
      <c r="I161" s="46" t="s">
        <v>4006</v>
      </c>
      <c r="DF161" s="12">
        <v>4</v>
      </c>
      <c r="DG161" s="12"/>
      <c r="DH161" s="12"/>
      <c r="DI161" s="12"/>
      <c r="DJ161" s="12"/>
      <c r="DK161" s="12"/>
      <c r="DL161" s="12"/>
      <c r="DM161" s="12"/>
      <c r="DN161" s="12"/>
      <c r="DO161" s="12"/>
      <c r="DP161" s="12"/>
      <c r="DQ161" s="35">
        <v>158</v>
      </c>
      <c r="DR161" s="32">
        <v>98</v>
      </c>
      <c r="DS161" s="73">
        <v>124</v>
      </c>
      <c r="DT161" s="71">
        <v>25</v>
      </c>
      <c r="DU161" s="21">
        <v>223</v>
      </c>
      <c r="DV161" s="31">
        <f t="shared" si="154"/>
        <v>258</v>
      </c>
      <c r="DW161" s="30">
        <f t="shared" si="155"/>
        <v>534</v>
      </c>
      <c r="DX161" s="36">
        <v>25</v>
      </c>
      <c r="DY161" s="23">
        <v>169</v>
      </c>
      <c r="DZ161" s="12">
        <v>159</v>
      </c>
      <c r="EA161" s="12">
        <f t="shared" si="122"/>
        <v>607</v>
      </c>
      <c r="EB161" s="12">
        <f t="shared" si="123"/>
        <v>706</v>
      </c>
      <c r="EC161" s="12">
        <f t="shared" si="124"/>
        <v>696</v>
      </c>
      <c r="ED161" s="12">
        <f t="shared" si="125"/>
        <v>547</v>
      </c>
      <c r="EE161" s="12">
        <f t="shared" si="126"/>
        <v>408</v>
      </c>
      <c r="EF161" s="12">
        <f t="shared" si="127"/>
        <v>279</v>
      </c>
      <c r="EG161" s="12">
        <f t="shared" si="128"/>
        <v>269</v>
      </c>
      <c r="EH161" s="12">
        <f t="shared" si="129"/>
        <v>269</v>
      </c>
      <c r="EI161" s="12">
        <f t="shared" si="130"/>
        <v>259</v>
      </c>
      <c r="EJ161" s="12">
        <f t="shared" si="131"/>
        <v>249</v>
      </c>
      <c r="EK161" s="12">
        <f t="shared" si="132"/>
        <v>537</v>
      </c>
      <c r="EL161" s="12">
        <f t="shared" si="133"/>
        <v>269</v>
      </c>
      <c r="EM161" s="12">
        <f t="shared" si="134"/>
        <v>259</v>
      </c>
      <c r="EN161" s="12">
        <f t="shared" si="135"/>
        <v>388</v>
      </c>
      <c r="EO161" s="12">
        <f t="shared" si="136"/>
        <v>249</v>
      </c>
      <c r="EP161" s="12">
        <f t="shared" si="137"/>
        <v>239</v>
      </c>
      <c r="EQ161" s="12">
        <f t="shared" si="138"/>
        <v>229</v>
      </c>
      <c r="ER161" s="12">
        <f t="shared" si="139"/>
        <v>378</v>
      </c>
      <c r="ES161" s="12">
        <f t="shared" si="140"/>
        <v>358</v>
      </c>
      <c r="ET161" s="12">
        <f t="shared" si="141"/>
        <v>219</v>
      </c>
      <c r="EU161" s="12">
        <f t="shared" si="142"/>
        <v>348</v>
      </c>
      <c r="EV161" s="12">
        <f t="shared" si="143"/>
        <v>219</v>
      </c>
      <c r="EW161" s="12">
        <f t="shared" si="144"/>
        <v>199</v>
      </c>
      <c r="EX161" s="12">
        <f t="shared" si="145"/>
        <v>189</v>
      </c>
      <c r="EY161" s="12">
        <f t="shared" si="146"/>
        <v>169</v>
      </c>
      <c r="EZ161" s="12">
        <v>161</v>
      </c>
      <c r="FA161" s="12"/>
      <c r="FB161" s="12"/>
      <c r="FC161" s="12"/>
      <c r="FD161" s="12"/>
      <c r="FE161" s="12"/>
      <c r="FF161" s="12"/>
      <c r="FG161" s="12"/>
      <c r="FH161" s="12"/>
      <c r="FI161" s="12"/>
      <c r="FJ161" s="12"/>
      <c r="FK161" s="12"/>
    </row>
    <row r="162" spans="1:173" ht="13.35" customHeight="1" thickBot="1" x14ac:dyDescent="0.25">
      <c r="A162" s="52" t="s">
        <v>871</v>
      </c>
      <c r="B162" s="53">
        <v>8</v>
      </c>
      <c r="C162" s="54"/>
      <c r="E162" s="45"/>
      <c r="DQ162" s="35">
        <v>159</v>
      </c>
      <c r="DR162" s="32">
        <v>100</v>
      </c>
      <c r="DS162" s="73">
        <v>124.5</v>
      </c>
      <c r="DT162" s="71">
        <v>25</v>
      </c>
      <c r="DU162" s="21">
        <v>224</v>
      </c>
      <c r="DV162" s="31">
        <f t="shared" si="154"/>
        <v>259</v>
      </c>
      <c r="DW162" s="30">
        <f t="shared" si="155"/>
        <v>537</v>
      </c>
      <c r="DX162" s="36">
        <v>25</v>
      </c>
      <c r="DY162" s="23">
        <v>169.5</v>
      </c>
      <c r="DZ162" s="20">
        <v>160</v>
      </c>
      <c r="EA162" s="12">
        <f t="shared" ref="EA162:EA202" si="159">EA161+3</f>
        <v>610</v>
      </c>
      <c r="EB162" s="12">
        <f t="shared" ref="EB162:EB202" si="160">EB161+4</f>
        <v>710</v>
      </c>
      <c r="EC162" s="12">
        <f t="shared" ref="EC162:EC202" si="161">EC161+4</f>
        <v>700</v>
      </c>
      <c r="ED162" s="12">
        <f t="shared" ref="ED162:ED202" si="162">ED161+3</f>
        <v>550</v>
      </c>
      <c r="EE162" s="12">
        <f t="shared" ref="EE162:EE202" si="163">EE161+2</f>
        <v>410</v>
      </c>
      <c r="EF162" s="12">
        <f t="shared" ref="EF162:EF202" si="164">EF161+1</f>
        <v>280</v>
      </c>
      <c r="EG162" s="12">
        <f t="shared" ref="EG162:EG202" si="165">EG161+1</f>
        <v>270</v>
      </c>
      <c r="EH162" s="12">
        <f t="shared" ref="EH162:EH202" si="166">EH161+1</f>
        <v>270</v>
      </c>
      <c r="EI162" s="12">
        <f t="shared" ref="EI162:EI202" si="167">EI161+1</f>
        <v>260</v>
      </c>
      <c r="EJ162" s="12">
        <f t="shared" ref="EJ162:EJ202" si="168">EJ161+1</f>
        <v>250</v>
      </c>
      <c r="EK162" s="12">
        <f t="shared" ref="EK162:EK202" si="169">EK161+3</f>
        <v>540</v>
      </c>
      <c r="EL162" s="12">
        <f t="shared" ref="EL162:EL202" si="170">EL161+1</f>
        <v>270</v>
      </c>
      <c r="EM162" s="12">
        <f t="shared" ref="EM162:EM202" si="171">EM161+1</f>
        <v>260</v>
      </c>
      <c r="EN162" s="12">
        <f t="shared" ref="EN162:EN202" si="172">EN161+2</f>
        <v>390</v>
      </c>
      <c r="EO162" s="12">
        <f t="shared" ref="EO162:EO202" si="173">EO161+1</f>
        <v>250</v>
      </c>
      <c r="EP162" s="12">
        <f t="shared" ref="EP162:EP202" si="174">EP161+1</f>
        <v>240</v>
      </c>
      <c r="EQ162" s="12">
        <f t="shared" ref="EQ162:EQ202" si="175">EQ161+1</f>
        <v>230</v>
      </c>
      <c r="ER162" s="12">
        <f t="shared" ref="ER162:ER202" si="176">ER161+2</f>
        <v>380</v>
      </c>
      <c r="ES162" s="12">
        <f t="shared" ref="ES162:ES202" si="177">ES161+2</f>
        <v>360</v>
      </c>
      <c r="ET162" s="12">
        <f t="shared" ref="ET162:ET202" si="178">ET161+1</f>
        <v>220</v>
      </c>
      <c r="EU162" s="12">
        <f t="shared" ref="EU162:EU202" si="179">EU161+2</f>
        <v>350</v>
      </c>
      <c r="EV162" s="12">
        <f t="shared" ref="EV162:EV202" si="180">EV161+1</f>
        <v>220</v>
      </c>
      <c r="EW162" s="12">
        <f t="shared" ref="EW162:EW202" si="181">EW161+1</f>
        <v>200</v>
      </c>
      <c r="EX162" s="12">
        <f t="shared" ref="EX162:EX202" si="182">EX161+1</f>
        <v>190</v>
      </c>
      <c r="EY162" s="12">
        <f t="shared" ref="EY162:EY202" si="183">EY161+1</f>
        <v>170</v>
      </c>
      <c r="EZ162" s="20">
        <v>162</v>
      </c>
    </row>
    <row r="163" spans="1:173" ht="13.35" customHeight="1" thickBot="1" x14ac:dyDescent="0.25">
      <c r="E163" s="55" t="s">
        <v>1775</v>
      </c>
      <c r="F163" s="12" t="s">
        <v>763</v>
      </c>
      <c r="G163" s="12" t="s">
        <v>764</v>
      </c>
      <c r="H163" s="12" t="s">
        <v>765</v>
      </c>
      <c r="I163" s="12" t="s">
        <v>766</v>
      </c>
      <c r="J163" s="12" t="s">
        <v>767</v>
      </c>
      <c r="K163" s="12" t="s">
        <v>768</v>
      </c>
      <c r="L163" s="12" t="s">
        <v>769</v>
      </c>
      <c r="M163" s="12" t="s">
        <v>770</v>
      </c>
      <c r="N163" s="12" t="s">
        <v>771</v>
      </c>
      <c r="O163" s="12" t="s">
        <v>772</v>
      </c>
      <c r="P163" s="12" t="s">
        <v>773</v>
      </c>
      <c r="Q163" s="12" t="s">
        <v>774</v>
      </c>
      <c r="R163" s="12" t="s">
        <v>775</v>
      </c>
      <c r="S163" s="12" t="s">
        <v>181</v>
      </c>
      <c r="T163" s="12" t="s">
        <v>776</v>
      </c>
      <c r="U163" s="12" t="s">
        <v>777</v>
      </c>
      <c r="V163" s="12" t="s">
        <v>778</v>
      </c>
      <c r="W163" s="12" t="s">
        <v>779</v>
      </c>
      <c r="X163" s="12" t="s">
        <v>780</v>
      </c>
      <c r="Y163" s="12" t="s">
        <v>781</v>
      </c>
      <c r="AA163" s="12" t="str">
        <f>AA158</f>
        <v>Arcanist (AC)</v>
      </c>
      <c r="AB163" s="12" t="str">
        <f>AB158</f>
        <v>Wizard (AC)</v>
      </c>
      <c r="AC163" s="12" t="str">
        <f>AC158</f>
        <v>Chaotic (AC)</v>
      </c>
      <c r="AD163" s="12" t="str">
        <f>AD158</f>
        <v>Magehunter (AC)</v>
      </c>
      <c r="AF163" s="12" t="s">
        <v>786</v>
      </c>
      <c r="AG163" s="12" t="s">
        <v>787</v>
      </c>
      <c r="AH163" s="12" t="s">
        <v>788</v>
      </c>
      <c r="AJ163" s="12" t="s">
        <v>789</v>
      </c>
      <c r="AK163" s="12" t="s">
        <v>790</v>
      </c>
      <c r="AL163" s="12" t="s">
        <v>791</v>
      </c>
      <c r="AM163" s="12" t="s">
        <v>792</v>
      </c>
      <c r="AO163" s="12" t="s">
        <v>793</v>
      </c>
      <c r="AP163" s="12" t="s">
        <v>794</v>
      </c>
      <c r="AQ163" s="12" t="s">
        <v>795</v>
      </c>
      <c r="AS163" s="12" t="s">
        <v>796</v>
      </c>
      <c r="AT163" s="12" t="s">
        <v>797</v>
      </c>
      <c r="AU163" s="12" t="s">
        <v>798</v>
      </c>
      <c r="AV163" s="12" t="s">
        <v>799</v>
      </c>
      <c r="AW163" s="12" t="s">
        <v>800</v>
      </c>
      <c r="AX163" s="12" t="s">
        <v>801</v>
      </c>
      <c r="AY163" s="12" t="s">
        <v>802</v>
      </c>
      <c r="AZ163" s="12" t="s">
        <v>803</v>
      </c>
      <c r="BA163" s="12" t="str">
        <f t="shared" ref="BA163:CQ163" si="184">BA158</f>
        <v>Priest of Culture</v>
      </c>
      <c r="BB163" s="12" t="str">
        <f t="shared" si="184"/>
        <v>Priest of Darkness, Night</v>
      </c>
      <c r="BC163" s="12" t="str">
        <f t="shared" si="184"/>
        <v>Priest of Dawn</v>
      </c>
      <c r="BD163" s="12" t="str">
        <f t="shared" si="184"/>
        <v>Priest of Death</v>
      </c>
      <c r="BE163" s="12" t="str">
        <f t="shared" si="184"/>
        <v>Priest of Disease</v>
      </c>
      <c r="BF163" s="12" t="str">
        <f t="shared" si="184"/>
        <v>Priest of Earth</v>
      </c>
      <c r="BG163" s="12" t="str">
        <f t="shared" si="184"/>
        <v>Priest of Fate, Destiny</v>
      </c>
      <c r="BH163" s="12" t="str">
        <f t="shared" si="184"/>
        <v>Priest of Fertility</v>
      </c>
      <c r="BI163" s="12" t="str">
        <f t="shared" si="184"/>
        <v>Priest of Fire</v>
      </c>
      <c r="BJ163" s="12" t="str">
        <f t="shared" si="184"/>
        <v>Priest of Fortune, Luck</v>
      </c>
      <c r="BK163" s="12" t="str">
        <f t="shared" si="184"/>
        <v>Priest of Guardianship</v>
      </c>
      <c r="BL163" s="12" t="str">
        <f t="shared" si="184"/>
        <v>Priest of Healing</v>
      </c>
      <c r="BM163" s="12" t="str">
        <f t="shared" si="184"/>
        <v>Priest of Hunting</v>
      </c>
      <c r="BN163" s="12" t="str">
        <f t="shared" si="184"/>
        <v>Priest of Justice, Revenge</v>
      </c>
      <c r="BO163" s="12" t="str">
        <f t="shared" si="184"/>
        <v>Priest of Light</v>
      </c>
      <c r="BP163" s="12" t="str">
        <f t="shared" si="184"/>
        <v>Priest of Lightning</v>
      </c>
      <c r="BQ163" s="12" t="str">
        <f t="shared" si="184"/>
        <v>Priest of Literature</v>
      </c>
      <c r="BR163" s="12" t="str">
        <f t="shared" si="184"/>
        <v>Priest of Love</v>
      </c>
      <c r="BS163" s="12" t="str">
        <f t="shared" si="184"/>
        <v>Priest of Magic</v>
      </c>
      <c r="BT163" s="12" t="str">
        <f t="shared" si="184"/>
        <v>Priest of Marriage</v>
      </c>
      <c r="BU163" s="12" t="str">
        <f t="shared" si="184"/>
        <v>Priest of Messengers</v>
      </c>
      <c r="BV163" s="12" t="str">
        <f t="shared" si="184"/>
        <v>Priest of Metalwork</v>
      </c>
      <c r="BW163" s="12" t="str">
        <f t="shared" si="184"/>
        <v>Priest of Mischief/Trickery</v>
      </c>
      <c r="BX163" s="12" t="str">
        <f t="shared" si="184"/>
        <v>Priest of Moon</v>
      </c>
      <c r="BY163" s="12" t="str">
        <f t="shared" si="184"/>
        <v>Priest of Music, Dance</v>
      </c>
      <c r="BZ163" s="12" t="str">
        <f t="shared" si="184"/>
        <v>Priest of Nature</v>
      </c>
      <c r="CA163" s="12" t="str">
        <f t="shared" si="184"/>
        <v>Priest of Ocean, Rivers</v>
      </c>
      <c r="CB163" s="12" t="str">
        <f t="shared" si="184"/>
        <v>Priest of Oracles</v>
      </c>
      <c r="CC163" s="12" t="str">
        <f t="shared" si="184"/>
        <v>Priest of Peace</v>
      </c>
      <c r="CD163" s="12" t="str">
        <f t="shared" si="184"/>
        <v>Priest of Prosperity</v>
      </c>
      <c r="CE163" s="12" t="str">
        <f t="shared" si="184"/>
        <v>Priest of Redemption</v>
      </c>
      <c r="CF163" s="12" t="str">
        <f t="shared" si="184"/>
        <v>Priest of Rulership</v>
      </c>
      <c r="CG163" s="12" t="str">
        <f t="shared" si="184"/>
        <v>Priest of Seasons</v>
      </c>
      <c r="CH163" s="12" t="str">
        <f t="shared" si="184"/>
        <v>Priest of Sky, Weather</v>
      </c>
      <c r="CI163" s="12" t="str">
        <f t="shared" si="184"/>
        <v>Priest of Strength</v>
      </c>
      <c r="CJ163" s="12" t="str">
        <f t="shared" si="184"/>
        <v>Priest of Sun</v>
      </c>
      <c r="CK163" s="12" t="str">
        <f t="shared" si="184"/>
        <v>Priest of Thunder</v>
      </c>
      <c r="CL163" s="12" t="str">
        <f t="shared" si="184"/>
        <v>Priest of Time</v>
      </c>
      <c r="CM163" s="12" t="str">
        <f t="shared" si="184"/>
        <v>Priest of Trade</v>
      </c>
      <c r="CN163" s="12" t="str">
        <f t="shared" si="184"/>
        <v>Priest of Vegetation</v>
      </c>
      <c r="CO163" s="12" t="str">
        <f t="shared" si="184"/>
        <v>Priest of War</v>
      </c>
      <c r="CP163" s="12" t="str">
        <f t="shared" si="184"/>
        <v>Priest of Wind</v>
      </c>
      <c r="CQ163" s="12" t="str">
        <f t="shared" si="184"/>
        <v>Priest of Wisdom</v>
      </c>
      <c r="CS163" s="12" t="str">
        <f>CS158</f>
        <v>Barbarian (FRP)</v>
      </c>
      <c r="CT163" s="12" t="str">
        <f>CT158</f>
        <v>Outrider (FRP)</v>
      </c>
      <c r="CU163" s="12" t="str">
        <f>CU158</f>
        <v>Sage (FRP)</v>
      </c>
      <c r="CV163" s="12" t="str">
        <f>CV158</f>
        <v>Swashbuckler (FRP)</v>
      </c>
      <c r="CX163" s="12" t="s">
        <v>851</v>
      </c>
      <c r="CY163" s="12" t="s">
        <v>852</v>
      </c>
      <c r="CZ163" s="12" t="s">
        <v>853</v>
      </c>
      <c r="DA163" s="12" t="s">
        <v>1129</v>
      </c>
      <c r="DB163" s="12" t="s">
        <v>855</v>
      </c>
      <c r="DC163" s="12" t="s">
        <v>856</v>
      </c>
      <c r="DD163" s="12" t="s">
        <v>857</v>
      </c>
      <c r="DE163" s="12" t="str">
        <f>DE158</f>
        <v>NEW PROF</v>
      </c>
      <c r="DF163" s="12">
        <v>1</v>
      </c>
      <c r="DQ163" s="35">
        <v>160</v>
      </c>
      <c r="DR163" s="32">
        <v>100</v>
      </c>
      <c r="DS163" s="73">
        <v>125</v>
      </c>
      <c r="DT163" s="71">
        <v>25</v>
      </c>
      <c r="DU163" s="21">
        <v>225</v>
      </c>
      <c r="DV163" s="31">
        <f t="shared" si="154"/>
        <v>260</v>
      </c>
      <c r="DW163" s="30">
        <f t="shared" si="155"/>
        <v>540</v>
      </c>
      <c r="DX163" s="36">
        <v>25</v>
      </c>
      <c r="DY163" s="23">
        <v>170</v>
      </c>
      <c r="DZ163" s="12">
        <v>161</v>
      </c>
      <c r="EA163" s="12">
        <f t="shared" si="159"/>
        <v>613</v>
      </c>
      <c r="EB163" s="12">
        <f t="shared" si="160"/>
        <v>714</v>
      </c>
      <c r="EC163" s="12">
        <f t="shared" si="161"/>
        <v>704</v>
      </c>
      <c r="ED163" s="12">
        <f t="shared" si="162"/>
        <v>553</v>
      </c>
      <c r="EE163" s="12">
        <f t="shared" si="163"/>
        <v>412</v>
      </c>
      <c r="EF163" s="12">
        <f t="shared" si="164"/>
        <v>281</v>
      </c>
      <c r="EG163" s="12">
        <f t="shared" si="165"/>
        <v>271</v>
      </c>
      <c r="EH163" s="12">
        <f t="shared" si="166"/>
        <v>271</v>
      </c>
      <c r="EI163" s="12">
        <f t="shared" si="167"/>
        <v>261</v>
      </c>
      <c r="EJ163" s="12">
        <f t="shared" si="168"/>
        <v>251</v>
      </c>
      <c r="EK163" s="12">
        <f t="shared" si="169"/>
        <v>543</v>
      </c>
      <c r="EL163" s="12">
        <f t="shared" si="170"/>
        <v>271</v>
      </c>
      <c r="EM163" s="12">
        <f t="shared" si="171"/>
        <v>261</v>
      </c>
      <c r="EN163" s="12">
        <f t="shared" si="172"/>
        <v>392</v>
      </c>
      <c r="EO163" s="12">
        <f t="shared" si="173"/>
        <v>251</v>
      </c>
      <c r="EP163" s="12">
        <f t="shared" si="174"/>
        <v>241</v>
      </c>
      <c r="EQ163" s="12">
        <f t="shared" si="175"/>
        <v>231</v>
      </c>
      <c r="ER163" s="12">
        <f t="shared" si="176"/>
        <v>382</v>
      </c>
      <c r="ES163" s="12">
        <f t="shared" si="177"/>
        <v>362</v>
      </c>
      <c r="ET163" s="12">
        <f t="shared" si="178"/>
        <v>221</v>
      </c>
      <c r="EU163" s="12">
        <f t="shared" si="179"/>
        <v>352</v>
      </c>
      <c r="EV163" s="12">
        <f t="shared" si="180"/>
        <v>221</v>
      </c>
      <c r="EW163" s="12">
        <f t="shared" si="181"/>
        <v>201</v>
      </c>
      <c r="EX163" s="12">
        <f t="shared" si="182"/>
        <v>191</v>
      </c>
      <c r="EY163" s="12">
        <f t="shared" si="183"/>
        <v>171</v>
      </c>
      <c r="EZ163" s="12">
        <v>163</v>
      </c>
    </row>
    <row r="164" spans="1:173" ht="13.35" customHeight="1" thickBot="1" x14ac:dyDescent="0.25">
      <c r="A164" s="12">
        <v>1</v>
      </c>
      <c r="B164" s="12">
        <v>2</v>
      </c>
      <c r="E164" s="45"/>
      <c r="F164" s="56" t="s">
        <v>246</v>
      </c>
      <c r="G164" s="56" t="s">
        <v>562</v>
      </c>
      <c r="H164" s="56" t="s">
        <v>246</v>
      </c>
      <c r="I164" s="56" t="s">
        <v>246</v>
      </c>
      <c r="J164" s="56" t="s">
        <v>1783</v>
      </c>
      <c r="K164" s="56" t="s">
        <v>246</v>
      </c>
      <c r="L164" s="56" t="s">
        <v>246</v>
      </c>
      <c r="M164" s="56" t="s">
        <v>1671</v>
      </c>
      <c r="N164" s="56" t="s">
        <v>1117</v>
      </c>
      <c r="O164" s="56" t="s">
        <v>246</v>
      </c>
      <c r="P164" s="56" t="s">
        <v>662</v>
      </c>
      <c r="Q164" s="56" t="s">
        <v>583</v>
      </c>
      <c r="R164" s="56" t="s">
        <v>246</v>
      </c>
      <c r="S164" s="56" t="s">
        <v>246</v>
      </c>
      <c r="T164" s="56" t="s">
        <v>246</v>
      </c>
      <c r="U164" s="56" t="s">
        <v>1671</v>
      </c>
      <c r="V164" s="56" t="s">
        <v>631</v>
      </c>
      <c r="W164" s="56" t="s">
        <v>562</v>
      </c>
      <c r="X164" s="56" t="s">
        <v>246</v>
      </c>
      <c r="Y164" s="56" t="s">
        <v>246</v>
      </c>
      <c r="Z164" s="56"/>
      <c r="AA164" s="56" t="s">
        <v>246</v>
      </c>
      <c r="AB164" s="56" t="s">
        <v>246</v>
      </c>
      <c r="AC164" s="56" t="s">
        <v>246</v>
      </c>
      <c r="AD164" s="56" t="s">
        <v>246</v>
      </c>
      <c r="AE164" s="56"/>
      <c r="AF164" s="56" t="s">
        <v>1784</v>
      </c>
      <c r="AG164" s="56" t="s">
        <v>246</v>
      </c>
      <c r="AH164" s="56" t="s">
        <v>246</v>
      </c>
      <c r="AI164" s="56"/>
      <c r="AJ164" s="56" t="s">
        <v>1785</v>
      </c>
      <c r="AK164" s="56" t="s">
        <v>246</v>
      </c>
      <c r="AL164" s="56" t="s">
        <v>600</v>
      </c>
      <c r="AM164" s="56" t="s">
        <v>615</v>
      </c>
      <c r="AN164" s="56"/>
      <c r="AO164" s="56" t="s">
        <v>246</v>
      </c>
      <c r="AP164" s="56" t="s">
        <v>246</v>
      </c>
      <c r="AQ164" s="56" t="s">
        <v>1671</v>
      </c>
      <c r="AR164" s="56"/>
      <c r="AS164" s="56" t="s">
        <v>512</v>
      </c>
      <c r="AT164" s="56" t="s">
        <v>1262</v>
      </c>
      <c r="AU164" s="56" t="s">
        <v>1154</v>
      </c>
      <c r="AV164" s="56" t="s">
        <v>1786</v>
      </c>
      <c r="AW164" s="56" t="s">
        <v>692</v>
      </c>
      <c r="AX164" s="56" t="s">
        <v>1262</v>
      </c>
      <c r="AY164" s="56" t="s">
        <v>1787</v>
      </c>
      <c r="AZ164" s="56" t="s">
        <v>1788</v>
      </c>
      <c r="BA164" s="56" t="s">
        <v>246</v>
      </c>
      <c r="BB164" s="56" t="s">
        <v>1120</v>
      </c>
      <c r="BC164" s="56" t="s">
        <v>475</v>
      </c>
      <c r="BD164" s="56" t="s">
        <v>1671</v>
      </c>
      <c r="BE164" s="56" t="s">
        <v>1117</v>
      </c>
      <c r="BF164" s="56" t="s">
        <v>1789</v>
      </c>
      <c r="BG164" s="56" t="s">
        <v>1279</v>
      </c>
      <c r="BH164" s="56" t="s">
        <v>1117</v>
      </c>
      <c r="BI164" s="56" t="s">
        <v>1104</v>
      </c>
      <c r="BJ164" s="56" t="s">
        <v>1279</v>
      </c>
      <c r="BK164" s="56" t="s">
        <v>461</v>
      </c>
      <c r="BL164" s="56" t="s">
        <v>662</v>
      </c>
      <c r="BM164" s="56" t="s">
        <v>1119</v>
      </c>
      <c r="BN164" s="56" t="s">
        <v>472</v>
      </c>
      <c r="BO164" s="56" t="s">
        <v>475</v>
      </c>
      <c r="BP164" s="56" t="s">
        <v>597</v>
      </c>
      <c r="BQ164" s="56" t="s">
        <v>246</v>
      </c>
      <c r="BR164" s="56" t="s">
        <v>1117</v>
      </c>
      <c r="BS164" s="56" t="s">
        <v>552</v>
      </c>
      <c r="BT164" s="56" t="s">
        <v>1671</v>
      </c>
      <c r="BU164" s="56" t="s">
        <v>246</v>
      </c>
      <c r="BV164" s="56" t="s">
        <v>1790</v>
      </c>
      <c r="BW164" s="56" t="s">
        <v>648</v>
      </c>
      <c r="BX164" s="56" t="s">
        <v>1280</v>
      </c>
      <c r="BY164" s="56" t="s">
        <v>1791</v>
      </c>
      <c r="BZ164" s="56" t="s">
        <v>512</v>
      </c>
      <c r="CA164" s="56" t="s">
        <v>433</v>
      </c>
      <c r="CB164" s="56" t="s">
        <v>600</v>
      </c>
      <c r="CC164" s="56" t="s">
        <v>1792</v>
      </c>
      <c r="CD164" s="56" t="s">
        <v>683</v>
      </c>
      <c r="CE164" s="56" t="s">
        <v>1671</v>
      </c>
      <c r="CF164" s="56" t="s">
        <v>1793</v>
      </c>
      <c r="CG164" s="56" t="s">
        <v>597</v>
      </c>
      <c r="CH164" s="56" t="s">
        <v>597</v>
      </c>
      <c r="CI164" s="56" t="s">
        <v>1794</v>
      </c>
      <c r="CJ164" s="56" t="s">
        <v>662</v>
      </c>
      <c r="CK164" s="56" t="s">
        <v>597</v>
      </c>
      <c r="CL164" s="56" t="s">
        <v>1262</v>
      </c>
      <c r="CM164" s="56" t="s">
        <v>536</v>
      </c>
      <c r="CN164" s="56" t="s">
        <v>1117</v>
      </c>
      <c r="CO164" s="56" t="s">
        <v>676</v>
      </c>
      <c r="CP164" s="56" t="s">
        <v>597</v>
      </c>
      <c r="CQ164" s="56" t="s">
        <v>1671</v>
      </c>
      <c r="CR164" s="56"/>
      <c r="CS164" s="56" t="s">
        <v>246</v>
      </c>
      <c r="CT164" s="56" t="s">
        <v>246</v>
      </c>
      <c r="CU164" s="56" t="s">
        <v>610</v>
      </c>
      <c r="CV164" s="56" t="s">
        <v>495</v>
      </c>
      <c r="CW164" s="56"/>
      <c r="CX164" s="56" t="s">
        <v>662</v>
      </c>
      <c r="CY164" s="56" t="s">
        <v>1671</v>
      </c>
      <c r="CZ164" s="56" t="s">
        <v>1117</v>
      </c>
      <c r="DA164" s="56"/>
      <c r="DB164" s="56" t="s">
        <v>1795</v>
      </c>
      <c r="DC164" s="56" t="s">
        <v>1795</v>
      </c>
      <c r="DD164" s="56" t="s">
        <v>1795</v>
      </c>
      <c r="DE164" s="56"/>
      <c r="DF164" s="12">
        <v>2</v>
      </c>
      <c r="DQ164" s="35">
        <v>161</v>
      </c>
      <c r="DR164" s="32">
        <v>101</v>
      </c>
      <c r="DS164" s="73">
        <v>125.5</v>
      </c>
      <c r="DT164" s="71">
        <v>25</v>
      </c>
      <c r="DU164" s="21">
        <v>226</v>
      </c>
      <c r="DV164" s="31">
        <f t="shared" si="154"/>
        <v>261</v>
      </c>
      <c r="DW164" s="30">
        <f t="shared" ref="DW164:DW195" si="185">HLOOKUP($B$155,$DZ$1:$FA$202,$EZ163,0)</f>
        <v>543</v>
      </c>
      <c r="DX164" s="36">
        <v>25</v>
      </c>
      <c r="DY164" s="23">
        <v>170.5</v>
      </c>
      <c r="DZ164" s="12">
        <v>162</v>
      </c>
      <c r="EA164" s="12">
        <f t="shared" si="159"/>
        <v>616</v>
      </c>
      <c r="EB164" s="12">
        <f t="shared" si="160"/>
        <v>718</v>
      </c>
      <c r="EC164" s="12">
        <f t="shared" si="161"/>
        <v>708</v>
      </c>
      <c r="ED164" s="12">
        <f t="shared" si="162"/>
        <v>556</v>
      </c>
      <c r="EE164" s="12">
        <f t="shared" si="163"/>
        <v>414</v>
      </c>
      <c r="EF164" s="12">
        <f t="shared" si="164"/>
        <v>282</v>
      </c>
      <c r="EG164" s="12">
        <f t="shared" si="165"/>
        <v>272</v>
      </c>
      <c r="EH164" s="12">
        <f t="shared" si="166"/>
        <v>272</v>
      </c>
      <c r="EI164" s="12">
        <f t="shared" si="167"/>
        <v>262</v>
      </c>
      <c r="EJ164" s="12">
        <f t="shared" si="168"/>
        <v>252</v>
      </c>
      <c r="EK164" s="12">
        <f t="shared" si="169"/>
        <v>546</v>
      </c>
      <c r="EL164" s="12">
        <f t="shared" si="170"/>
        <v>272</v>
      </c>
      <c r="EM164" s="12">
        <f t="shared" si="171"/>
        <v>262</v>
      </c>
      <c r="EN164" s="12">
        <f t="shared" si="172"/>
        <v>394</v>
      </c>
      <c r="EO164" s="12">
        <f t="shared" si="173"/>
        <v>252</v>
      </c>
      <c r="EP164" s="12">
        <f t="shared" si="174"/>
        <v>242</v>
      </c>
      <c r="EQ164" s="12">
        <f t="shared" si="175"/>
        <v>232</v>
      </c>
      <c r="ER164" s="12">
        <f t="shared" si="176"/>
        <v>384</v>
      </c>
      <c r="ES164" s="12">
        <f t="shared" si="177"/>
        <v>364</v>
      </c>
      <c r="ET164" s="12">
        <f t="shared" si="178"/>
        <v>222</v>
      </c>
      <c r="EU164" s="12">
        <f t="shared" si="179"/>
        <v>354</v>
      </c>
      <c r="EV164" s="12">
        <f t="shared" si="180"/>
        <v>222</v>
      </c>
      <c r="EW164" s="12">
        <f t="shared" si="181"/>
        <v>202</v>
      </c>
      <c r="EX164" s="12">
        <f t="shared" si="182"/>
        <v>192</v>
      </c>
      <c r="EY164" s="12">
        <f t="shared" si="183"/>
        <v>172</v>
      </c>
      <c r="EZ164" s="12">
        <v>164</v>
      </c>
    </row>
    <row r="165" spans="1:173" s="56" customFormat="1" ht="13.35" customHeight="1" thickBot="1" x14ac:dyDescent="0.25">
      <c r="A165" s="12" t="s">
        <v>1801</v>
      </c>
      <c r="B165" s="12" t="s">
        <v>1802</v>
      </c>
      <c r="C165" s="12"/>
      <c r="D165" s="12"/>
      <c r="E165" s="45"/>
      <c r="M165" s="56" t="s">
        <v>600</v>
      </c>
      <c r="P165" s="56" t="s">
        <v>414</v>
      </c>
      <c r="Q165" s="56" t="s">
        <v>662</v>
      </c>
      <c r="AL165" s="56" t="s">
        <v>631</v>
      </c>
      <c r="AM165" s="56" t="s">
        <v>1279</v>
      </c>
      <c r="BB165" s="56" t="s">
        <v>615</v>
      </c>
      <c r="BG165" s="56" t="s">
        <v>600</v>
      </c>
      <c r="BH165" s="56" t="s">
        <v>1694</v>
      </c>
      <c r="BJ165" s="56" t="s">
        <v>615</v>
      </c>
      <c r="BK165" s="56" t="s">
        <v>1721</v>
      </c>
      <c r="BR165" s="56" t="s">
        <v>1694</v>
      </c>
      <c r="BW165" s="56" t="s">
        <v>530</v>
      </c>
      <c r="BX165" s="56" t="s">
        <v>1279</v>
      </c>
      <c r="BZ165" s="56" t="s">
        <v>542</v>
      </c>
      <c r="CI165" s="56" t="s">
        <v>1787</v>
      </c>
      <c r="CL165" s="56" t="s">
        <v>486</v>
      </c>
      <c r="CM165" s="56" t="s">
        <v>683</v>
      </c>
      <c r="CN165" s="56" t="s">
        <v>1694</v>
      </c>
      <c r="CO165" s="56" t="s">
        <v>1709</v>
      </c>
      <c r="CX165" s="56" t="s">
        <v>1117</v>
      </c>
      <c r="CY165" s="56" t="s">
        <v>600</v>
      </c>
      <c r="DF165" s="12">
        <v>3</v>
      </c>
      <c r="DG165" s="12"/>
      <c r="DH165" s="12"/>
      <c r="DI165" s="12"/>
      <c r="DJ165" s="12"/>
      <c r="DK165" s="12"/>
      <c r="DL165" s="12"/>
      <c r="DM165" s="12"/>
      <c r="DN165" s="12"/>
      <c r="DO165" s="12"/>
      <c r="DP165" s="12"/>
      <c r="DQ165" s="35">
        <v>162</v>
      </c>
      <c r="DR165" s="32">
        <v>101</v>
      </c>
      <c r="DS165" s="73">
        <v>126</v>
      </c>
      <c r="DT165" s="71">
        <v>25</v>
      </c>
      <c r="DU165" s="21">
        <v>227</v>
      </c>
      <c r="DV165" s="31">
        <f t="shared" si="154"/>
        <v>262</v>
      </c>
      <c r="DW165" s="30">
        <f t="shared" si="185"/>
        <v>546</v>
      </c>
      <c r="DX165" s="36">
        <v>25</v>
      </c>
      <c r="DY165" s="23">
        <v>171</v>
      </c>
      <c r="DZ165" s="12">
        <v>163</v>
      </c>
      <c r="EA165" s="12">
        <f t="shared" si="159"/>
        <v>619</v>
      </c>
      <c r="EB165" s="12">
        <f t="shared" si="160"/>
        <v>722</v>
      </c>
      <c r="EC165" s="12">
        <f t="shared" si="161"/>
        <v>712</v>
      </c>
      <c r="ED165" s="12">
        <f t="shared" si="162"/>
        <v>559</v>
      </c>
      <c r="EE165" s="12">
        <f t="shared" si="163"/>
        <v>416</v>
      </c>
      <c r="EF165" s="12">
        <f t="shared" si="164"/>
        <v>283</v>
      </c>
      <c r="EG165" s="12">
        <f t="shared" si="165"/>
        <v>273</v>
      </c>
      <c r="EH165" s="12">
        <f t="shared" si="166"/>
        <v>273</v>
      </c>
      <c r="EI165" s="12">
        <f t="shared" si="167"/>
        <v>263</v>
      </c>
      <c r="EJ165" s="12">
        <f t="shared" si="168"/>
        <v>253</v>
      </c>
      <c r="EK165" s="12">
        <f t="shared" si="169"/>
        <v>549</v>
      </c>
      <c r="EL165" s="12">
        <f t="shared" si="170"/>
        <v>273</v>
      </c>
      <c r="EM165" s="12">
        <f t="shared" si="171"/>
        <v>263</v>
      </c>
      <c r="EN165" s="12">
        <f t="shared" si="172"/>
        <v>396</v>
      </c>
      <c r="EO165" s="12">
        <f t="shared" si="173"/>
        <v>253</v>
      </c>
      <c r="EP165" s="12">
        <f t="shared" si="174"/>
        <v>243</v>
      </c>
      <c r="EQ165" s="12">
        <f t="shared" si="175"/>
        <v>233</v>
      </c>
      <c r="ER165" s="12">
        <f t="shared" si="176"/>
        <v>386</v>
      </c>
      <c r="ES165" s="12">
        <f t="shared" si="177"/>
        <v>366</v>
      </c>
      <c r="ET165" s="12">
        <f t="shared" si="178"/>
        <v>223</v>
      </c>
      <c r="EU165" s="12">
        <f t="shared" si="179"/>
        <v>356</v>
      </c>
      <c r="EV165" s="12">
        <f t="shared" si="180"/>
        <v>223</v>
      </c>
      <c r="EW165" s="12">
        <f t="shared" si="181"/>
        <v>203</v>
      </c>
      <c r="EX165" s="12">
        <f t="shared" si="182"/>
        <v>193</v>
      </c>
      <c r="EY165" s="12">
        <f t="shared" si="183"/>
        <v>173</v>
      </c>
      <c r="EZ165" s="12">
        <v>165</v>
      </c>
      <c r="FA165" s="12"/>
      <c r="FB165" s="12"/>
      <c r="FC165" s="12"/>
      <c r="FD165" s="12"/>
      <c r="FE165" s="12"/>
      <c r="FF165" s="12"/>
      <c r="FG165" s="12"/>
      <c r="FH165" s="12"/>
      <c r="FI165" s="12"/>
      <c r="FJ165" s="12"/>
      <c r="FK165" s="12"/>
      <c r="FL165" s="12"/>
      <c r="FM165" s="12"/>
      <c r="FN165" s="12"/>
      <c r="FO165" s="12"/>
      <c r="FP165" s="12"/>
      <c r="FQ165" s="12"/>
    </row>
    <row r="166" spans="1:173" s="56" customFormat="1" ht="13.35" customHeight="1" thickBot="1" x14ac:dyDescent="0.25">
      <c r="A166" s="12">
        <v>20</v>
      </c>
      <c r="B166" s="12">
        <f>A166+44</f>
        <v>64</v>
      </c>
      <c r="C166" s="12"/>
      <c r="D166" s="12"/>
      <c r="E166" s="45"/>
      <c r="AM166" s="56" t="s">
        <v>597</v>
      </c>
      <c r="BG166" s="56" t="s">
        <v>615</v>
      </c>
      <c r="BZ166" s="56" t="s">
        <v>541</v>
      </c>
      <c r="CN166" s="56" t="s">
        <v>542</v>
      </c>
      <c r="DF166" s="12">
        <v>4</v>
      </c>
      <c r="DG166" s="12"/>
      <c r="DH166" s="12"/>
      <c r="DI166" s="12"/>
      <c r="DJ166" s="12"/>
      <c r="DK166" s="12"/>
      <c r="DL166" s="12"/>
      <c r="DM166" s="12"/>
      <c r="DN166" s="12"/>
      <c r="DO166" s="12"/>
      <c r="DP166" s="12"/>
      <c r="DQ166" s="35">
        <v>163</v>
      </c>
      <c r="DR166" s="32">
        <v>102</v>
      </c>
      <c r="DS166" s="73">
        <v>126.5</v>
      </c>
      <c r="DT166" s="71">
        <v>25</v>
      </c>
      <c r="DU166" s="21">
        <v>228</v>
      </c>
      <c r="DV166" s="31">
        <f t="shared" si="154"/>
        <v>263</v>
      </c>
      <c r="DW166" s="30">
        <f t="shared" si="185"/>
        <v>549</v>
      </c>
      <c r="DX166" s="36">
        <v>25</v>
      </c>
      <c r="DY166" s="23">
        <v>171.5</v>
      </c>
      <c r="DZ166" s="12">
        <v>164</v>
      </c>
      <c r="EA166" s="12">
        <f t="shared" si="159"/>
        <v>622</v>
      </c>
      <c r="EB166" s="12">
        <f t="shared" si="160"/>
        <v>726</v>
      </c>
      <c r="EC166" s="12">
        <f t="shared" si="161"/>
        <v>716</v>
      </c>
      <c r="ED166" s="12">
        <f t="shared" si="162"/>
        <v>562</v>
      </c>
      <c r="EE166" s="12">
        <f t="shared" si="163"/>
        <v>418</v>
      </c>
      <c r="EF166" s="12">
        <f t="shared" si="164"/>
        <v>284</v>
      </c>
      <c r="EG166" s="12">
        <f t="shared" si="165"/>
        <v>274</v>
      </c>
      <c r="EH166" s="12">
        <f t="shared" si="166"/>
        <v>274</v>
      </c>
      <c r="EI166" s="12">
        <f t="shared" si="167"/>
        <v>264</v>
      </c>
      <c r="EJ166" s="12">
        <f t="shared" si="168"/>
        <v>254</v>
      </c>
      <c r="EK166" s="12">
        <f t="shared" si="169"/>
        <v>552</v>
      </c>
      <c r="EL166" s="12">
        <f t="shared" si="170"/>
        <v>274</v>
      </c>
      <c r="EM166" s="12">
        <f t="shared" si="171"/>
        <v>264</v>
      </c>
      <c r="EN166" s="12">
        <f t="shared" si="172"/>
        <v>398</v>
      </c>
      <c r="EO166" s="12">
        <f t="shared" si="173"/>
        <v>254</v>
      </c>
      <c r="EP166" s="12">
        <f t="shared" si="174"/>
        <v>244</v>
      </c>
      <c r="EQ166" s="12">
        <f t="shared" si="175"/>
        <v>234</v>
      </c>
      <c r="ER166" s="12">
        <f t="shared" si="176"/>
        <v>388</v>
      </c>
      <c r="ES166" s="12">
        <f t="shared" si="177"/>
        <v>368</v>
      </c>
      <c r="ET166" s="12">
        <f t="shared" si="178"/>
        <v>224</v>
      </c>
      <c r="EU166" s="12">
        <f t="shared" si="179"/>
        <v>358</v>
      </c>
      <c r="EV166" s="12">
        <f t="shared" si="180"/>
        <v>224</v>
      </c>
      <c r="EW166" s="12">
        <f t="shared" si="181"/>
        <v>204</v>
      </c>
      <c r="EX166" s="12">
        <f t="shared" si="182"/>
        <v>194</v>
      </c>
      <c r="EY166" s="12">
        <f t="shared" si="183"/>
        <v>174</v>
      </c>
      <c r="EZ166" s="12">
        <v>166</v>
      </c>
      <c r="FA166" s="12"/>
      <c r="FB166" s="12"/>
      <c r="FC166" s="12"/>
      <c r="FD166" s="12"/>
      <c r="FE166" s="12"/>
      <c r="FF166" s="12"/>
      <c r="FG166" s="12"/>
      <c r="FH166" s="12"/>
      <c r="FI166" s="12"/>
      <c r="FJ166" s="12"/>
      <c r="FK166" s="12"/>
      <c r="FL166" s="12"/>
      <c r="FM166" s="12"/>
      <c r="FN166" s="12"/>
      <c r="FO166" s="12"/>
      <c r="FP166" s="12"/>
      <c r="FQ166" s="12"/>
    </row>
    <row r="167" spans="1:173" s="56" customFormat="1" ht="13.35" customHeight="1" thickBot="1" x14ac:dyDescent="0.25">
      <c r="A167" s="12">
        <v>21</v>
      </c>
      <c r="B167" s="12">
        <f>A167+44</f>
        <v>65</v>
      </c>
      <c r="C167" s="12"/>
      <c r="D167" s="12"/>
      <c r="E167" s="45"/>
      <c r="DF167" s="12"/>
      <c r="DG167" s="12"/>
      <c r="DH167" s="12"/>
      <c r="DI167" s="12"/>
      <c r="DJ167" s="12"/>
      <c r="DK167" s="12"/>
      <c r="DL167" s="12"/>
      <c r="DM167" s="12"/>
      <c r="DN167" s="12"/>
      <c r="DO167" s="12"/>
      <c r="DP167" s="12"/>
      <c r="DQ167" s="35">
        <v>164</v>
      </c>
      <c r="DR167" s="32">
        <v>102</v>
      </c>
      <c r="DS167" s="73">
        <v>127</v>
      </c>
      <c r="DT167" s="71">
        <v>25</v>
      </c>
      <c r="DU167" s="21">
        <v>229</v>
      </c>
      <c r="DV167" s="31">
        <f t="shared" si="154"/>
        <v>264</v>
      </c>
      <c r="DW167" s="30">
        <f t="shared" si="185"/>
        <v>552</v>
      </c>
      <c r="DX167" s="36">
        <v>25</v>
      </c>
      <c r="DY167" s="23">
        <v>172</v>
      </c>
      <c r="DZ167" s="12">
        <v>165</v>
      </c>
      <c r="EA167" s="12">
        <f t="shared" si="159"/>
        <v>625</v>
      </c>
      <c r="EB167" s="12">
        <f t="shared" si="160"/>
        <v>730</v>
      </c>
      <c r="EC167" s="12">
        <f t="shared" si="161"/>
        <v>720</v>
      </c>
      <c r="ED167" s="12">
        <f t="shared" si="162"/>
        <v>565</v>
      </c>
      <c r="EE167" s="12">
        <f t="shared" si="163"/>
        <v>420</v>
      </c>
      <c r="EF167" s="12">
        <f t="shared" si="164"/>
        <v>285</v>
      </c>
      <c r="EG167" s="12">
        <f t="shared" si="165"/>
        <v>275</v>
      </c>
      <c r="EH167" s="12">
        <f t="shared" si="166"/>
        <v>275</v>
      </c>
      <c r="EI167" s="12">
        <f t="shared" si="167"/>
        <v>265</v>
      </c>
      <c r="EJ167" s="12">
        <f t="shared" si="168"/>
        <v>255</v>
      </c>
      <c r="EK167" s="12">
        <f t="shared" si="169"/>
        <v>555</v>
      </c>
      <c r="EL167" s="12">
        <f t="shared" si="170"/>
        <v>275</v>
      </c>
      <c r="EM167" s="12">
        <f t="shared" si="171"/>
        <v>265</v>
      </c>
      <c r="EN167" s="12">
        <f t="shared" si="172"/>
        <v>400</v>
      </c>
      <c r="EO167" s="12">
        <f t="shared" si="173"/>
        <v>255</v>
      </c>
      <c r="EP167" s="12">
        <f t="shared" si="174"/>
        <v>245</v>
      </c>
      <c r="EQ167" s="12">
        <f t="shared" si="175"/>
        <v>235</v>
      </c>
      <c r="ER167" s="12">
        <f t="shared" si="176"/>
        <v>390</v>
      </c>
      <c r="ES167" s="12">
        <f t="shared" si="177"/>
        <v>370</v>
      </c>
      <c r="ET167" s="12">
        <f t="shared" si="178"/>
        <v>225</v>
      </c>
      <c r="EU167" s="12">
        <f t="shared" si="179"/>
        <v>360</v>
      </c>
      <c r="EV167" s="12">
        <f t="shared" si="180"/>
        <v>225</v>
      </c>
      <c r="EW167" s="12">
        <f t="shared" si="181"/>
        <v>205</v>
      </c>
      <c r="EX167" s="12">
        <f t="shared" si="182"/>
        <v>195</v>
      </c>
      <c r="EY167" s="12">
        <f t="shared" si="183"/>
        <v>175</v>
      </c>
      <c r="EZ167" s="12">
        <v>167</v>
      </c>
      <c r="FA167" s="12"/>
      <c r="FB167" s="12"/>
      <c r="FC167" s="12"/>
      <c r="FD167" s="12"/>
      <c r="FE167" s="12"/>
      <c r="FF167" s="12"/>
      <c r="FG167" s="12"/>
      <c r="FH167" s="12"/>
      <c r="FI167" s="12"/>
      <c r="FJ167" s="12"/>
      <c r="FK167" s="12"/>
      <c r="FL167" s="12"/>
      <c r="FM167" s="12"/>
      <c r="FN167" s="12"/>
      <c r="FO167" s="12"/>
      <c r="FP167" s="12"/>
      <c r="FQ167" s="12"/>
    </row>
    <row r="168" spans="1:173" s="56" customFormat="1" ht="13.35" customHeight="1" thickBot="1" x14ac:dyDescent="0.25">
      <c r="A168" s="12">
        <v>22</v>
      </c>
      <c r="B168" s="12">
        <f>A168+44</f>
        <v>66</v>
      </c>
      <c r="C168" s="12"/>
      <c r="D168" s="12"/>
      <c r="E168" s="45"/>
      <c r="DF168" s="12"/>
      <c r="DG168" s="12"/>
      <c r="DH168" s="12"/>
      <c r="DI168" s="12"/>
      <c r="DJ168" s="12"/>
      <c r="DK168" s="12"/>
      <c r="DL168" s="12"/>
      <c r="DM168" s="12"/>
      <c r="DN168" s="12"/>
      <c r="DO168" s="12"/>
      <c r="DP168" s="12"/>
      <c r="DQ168" s="35">
        <v>165</v>
      </c>
      <c r="DR168" s="32">
        <v>103</v>
      </c>
      <c r="DS168" s="73">
        <v>127.5</v>
      </c>
      <c r="DT168" s="71">
        <v>25</v>
      </c>
      <c r="DU168" s="21">
        <v>230</v>
      </c>
      <c r="DV168" s="31">
        <f t="shared" si="154"/>
        <v>265</v>
      </c>
      <c r="DW168" s="30">
        <f t="shared" si="185"/>
        <v>555</v>
      </c>
      <c r="DX168" s="36">
        <v>25</v>
      </c>
      <c r="DY168" s="23">
        <v>172.5</v>
      </c>
      <c r="DZ168" s="12">
        <v>166</v>
      </c>
      <c r="EA168" s="12">
        <f t="shared" si="159"/>
        <v>628</v>
      </c>
      <c r="EB168" s="12">
        <f t="shared" si="160"/>
        <v>734</v>
      </c>
      <c r="EC168" s="12">
        <f t="shared" si="161"/>
        <v>724</v>
      </c>
      <c r="ED168" s="12">
        <f t="shared" si="162"/>
        <v>568</v>
      </c>
      <c r="EE168" s="12">
        <f t="shared" si="163"/>
        <v>422</v>
      </c>
      <c r="EF168" s="12">
        <f t="shared" si="164"/>
        <v>286</v>
      </c>
      <c r="EG168" s="12">
        <f t="shared" si="165"/>
        <v>276</v>
      </c>
      <c r="EH168" s="12">
        <f t="shared" si="166"/>
        <v>276</v>
      </c>
      <c r="EI168" s="12">
        <f t="shared" si="167"/>
        <v>266</v>
      </c>
      <c r="EJ168" s="12">
        <f t="shared" si="168"/>
        <v>256</v>
      </c>
      <c r="EK168" s="12">
        <f t="shared" si="169"/>
        <v>558</v>
      </c>
      <c r="EL168" s="12">
        <f t="shared" si="170"/>
        <v>276</v>
      </c>
      <c r="EM168" s="12">
        <f t="shared" si="171"/>
        <v>266</v>
      </c>
      <c r="EN168" s="12">
        <f t="shared" si="172"/>
        <v>402</v>
      </c>
      <c r="EO168" s="12">
        <f t="shared" si="173"/>
        <v>256</v>
      </c>
      <c r="EP168" s="12">
        <f t="shared" si="174"/>
        <v>246</v>
      </c>
      <c r="EQ168" s="12">
        <f t="shared" si="175"/>
        <v>236</v>
      </c>
      <c r="ER168" s="12">
        <f t="shared" si="176"/>
        <v>392</v>
      </c>
      <c r="ES168" s="12">
        <f t="shared" si="177"/>
        <v>372</v>
      </c>
      <c r="ET168" s="12">
        <f t="shared" si="178"/>
        <v>226</v>
      </c>
      <c r="EU168" s="12">
        <f t="shared" si="179"/>
        <v>362</v>
      </c>
      <c r="EV168" s="12">
        <f t="shared" si="180"/>
        <v>226</v>
      </c>
      <c r="EW168" s="12">
        <f t="shared" si="181"/>
        <v>206</v>
      </c>
      <c r="EX168" s="12">
        <f t="shared" si="182"/>
        <v>196</v>
      </c>
      <c r="EY168" s="12">
        <f t="shared" si="183"/>
        <v>176</v>
      </c>
      <c r="EZ168" s="12">
        <v>168</v>
      </c>
      <c r="FA168" s="12"/>
      <c r="FB168" s="12"/>
      <c r="FC168" s="12"/>
      <c r="FD168" s="12"/>
      <c r="FE168" s="12"/>
      <c r="FF168" s="12"/>
      <c r="FG168" s="12"/>
      <c r="FH168" s="12"/>
      <c r="FI168" s="12"/>
      <c r="FJ168" s="12"/>
      <c r="FK168" s="12"/>
      <c r="FL168" s="12"/>
      <c r="FM168" s="12"/>
      <c r="FN168" s="12"/>
      <c r="FO168" s="12"/>
      <c r="FP168" s="12"/>
      <c r="FQ168" s="12"/>
    </row>
    <row r="169" spans="1:173" ht="13.35" customHeight="1" thickBot="1" x14ac:dyDescent="0.25">
      <c r="A169" s="12">
        <v>23</v>
      </c>
      <c r="B169" s="12">
        <f>A169+44</f>
        <v>67</v>
      </c>
      <c r="E169" s="45"/>
      <c r="DQ169" s="35">
        <v>166</v>
      </c>
      <c r="DR169" s="32">
        <v>103</v>
      </c>
      <c r="DS169" s="73">
        <v>128</v>
      </c>
      <c r="DT169" s="71">
        <v>25</v>
      </c>
      <c r="DU169" s="21">
        <v>231</v>
      </c>
      <c r="DV169" s="31">
        <f t="shared" si="154"/>
        <v>266</v>
      </c>
      <c r="DW169" s="30">
        <f t="shared" si="185"/>
        <v>558</v>
      </c>
      <c r="DX169" s="36">
        <v>25</v>
      </c>
      <c r="DY169" s="23">
        <v>173</v>
      </c>
      <c r="DZ169" s="12">
        <v>167</v>
      </c>
      <c r="EA169" s="12">
        <f t="shared" si="159"/>
        <v>631</v>
      </c>
      <c r="EB169" s="12">
        <f t="shared" si="160"/>
        <v>738</v>
      </c>
      <c r="EC169" s="12">
        <f t="shared" si="161"/>
        <v>728</v>
      </c>
      <c r="ED169" s="12">
        <f t="shared" si="162"/>
        <v>571</v>
      </c>
      <c r="EE169" s="12">
        <f t="shared" si="163"/>
        <v>424</v>
      </c>
      <c r="EF169" s="12">
        <f t="shared" si="164"/>
        <v>287</v>
      </c>
      <c r="EG169" s="12">
        <f t="shared" si="165"/>
        <v>277</v>
      </c>
      <c r="EH169" s="12">
        <f t="shared" si="166"/>
        <v>277</v>
      </c>
      <c r="EI169" s="12">
        <f t="shared" si="167"/>
        <v>267</v>
      </c>
      <c r="EJ169" s="12">
        <f t="shared" si="168"/>
        <v>257</v>
      </c>
      <c r="EK169" s="12">
        <f t="shared" si="169"/>
        <v>561</v>
      </c>
      <c r="EL169" s="12">
        <f t="shared" si="170"/>
        <v>277</v>
      </c>
      <c r="EM169" s="12">
        <f t="shared" si="171"/>
        <v>267</v>
      </c>
      <c r="EN169" s="12">
        <f t="shared" si="172"/>
        <v>404</v>
      </c>
      <c r="EO169" s="12">
        <f t="shared" si="173"/>
        <v>257</v>
      </c>
      <c r="EP169" s="12">
        <f t="shared" si="174"/>
        <v>247</v>
      </c>
      <c r="EQ169" s="12">
        <f t="shared" si="175"/>
        <v>237</v>
      </c>
      <c r="ER169" s="12">
        <f t="shared" si="176"/>
        <v>394</v>
      </c>
      <c r="ES169" s="12">
        <f t="shared" si="177"/>
        <v>374</v>
      </c>
      <c r="ET169" s="12">
        <f t="shared" si="178"/>
        <v>227</v>
      </c>
      <c r="EU169" s="12">
        <f t="shared" si="179"/>
        <v>364</v>
      </c>
      <c r="EV169" s="12">
        <f t="shared" si="180"/>
        <v>227</v>
      </c>
      <c r="EW169" s="12">
        <f t="shared" si="181"/>
        <v>207</v>
      </c>
      <c r="EX169" s="12">
        <f t="shared" si="182"/>
        <v>197</v>
      </c>
      <c r="EY169" s="12">
        <f t="shared" si="183"/>
        <v>177</v>
      </c>
      <c r="EZ169" s="12">
        <v>169</v>
      </c>
    </row>
    <row r="170" spans="1:173" ht="13.35" customHeight="1" thickBot="1" x14ac:dyDescent="0.25">
      <c r="A170" s="78">
        <v>24</v>
      </c>
      <c r="B170" s="78">
        <f>A170+44</f>
        <v>68</v>
      </c>
      <c r="E170" s="45"/>
      <c r="DQ170" s="35">
        <v>167</v>
      </c>
      <c r="DR170" s="32">
        <v>104</v>
      </c>
      <c r="DS170" s="73">
        <v>128.5</v>
      </c>
      <c r="DT170" s="71">
        <v>25</v>
      </c>
      <c r="DU170" s="21">
        <v>232</v>
      </c>
      <c r="DV170" s="31">
        <f t="shared" si="154"/>
        <v>267</v>
      </c>
      <c r="DW170" s="30">
        <f t="shared" si="185"/>
        <v>561</v>
      </c>
      <c r="DX170" s="36">
        <v>25</v>
      </c>
      <c r="DY170" s="23">
        <v>173.5</v>
      </c>
      <c r="DZ170" s="12">
        <v>168</v>
      </c>
      <c r="EA170" s="12">
        <f t="shared" si="159"/>
        <v>634</v>
      </c>
      <c r="EB170" s="12">
        <f t="shared" si="160"/>
        <v>742</v>
      </c>
      <c r="EC170" s="12">
        <f t="shared" si="161"/>
        <v>732</v>
      </c>
      <c r="ED170" s="12">
        <f t="shared" si="162"/>
        <v>574</v>
      </c>
      <c r="EE170" s="12">
        <f t="shared" si="163"/>
        <v>426</v>
      </c>
      <c r="EF170" s="12">
        <f t="shared" si="164"/>
        <v>288</v>
      </c>
      <c r="EG170" s="12">
        <f t="shared" si="165"/>
        <v>278</v>
      </c>
      <c r="EH170" s="12">
        <f t="shared" si="166"/>
        <v>278</v>
      </c>
      <c r="EI170" s="12">
        <f t="shared" si="167"/>
        <v>268</v>
      </c>
      <c r="EJ170" s="12">
        <f t="shared" si="168"/>
        <v>258</v>
      </c>
      <c r="EK170" s="12">
        <f t="shared" si="169"/>
        <v>564</v>
      </c>
      <c r="EL170" s="12">
        <f t="shared" si="170"/>
        <v>278</v>
      </c>
      <c r="EM170" s="12">
        <f t="shared" si="171"/>
        <v>268</v>
      </c>
      <c r="EN170" s="12">
        <f t="shared" si="172"/>
        <v>406</v>
      </c>
      <c r="EO170" s="12">
        <f t="shared" si="173"/>
        <v>258</v>
      </c>
      <c r="EP170" s="12">
        <f t="shared" si="174"/>
        <v>248</v>
      </c>
      <c r="EQ170" s="12">
        <f t="shared" si="175"/>
        <v>238</v>
      </c>
      <c r="ER170" s="12">
        <f t="shared" si="176"/>
        <v>396</v>
      </c>
      <c r="ES170" s="12">
        <f t="shared" si="177"/>
        <v>376</v>
      </c>
      <c r="ET170" s="12">
        <f t="shared" si="178"/>
        <v>228</v>
      </c>
      <c r="EU170" s="12">
        <f t="shared" si="179"/>
        <v>366</v>
      </c>
      <c r="EV170" s="12">
        <f t="shared" si="180"/>
        <v>228</v>
      </c>
      <c r="EW170" s="12">
        <f t="shared" si="181"/>
        <v>208</v>
      </c>
      <c r="EX170" s="12">
        <f t="shared" si="182"/>
        <v>198</v>
      </c>
      <c r="EY170" s="12">
        <f t="shared" si="183"/>
        <v>178</v>
      </c>
      <c r="EZ170" s="12">
        <v>170</v>
      </c>
    </row>
    <row r="171" spans="1:173" ht="13.35" customHeight="1" thickBot="1" x14ac:dyDescent="0.25">
      <c r="A171" s="12">
        <v>25</v>
      </c>
      <c r="B171" s="12">
        <f t="shared" ref="B171:B180" si="186">A171+39</f>
        <v>64</v>
      </c>
      <c r="E171" s="45"/>
      <c r="DQ171" s="35">
        <v>168</v>
      </c>
      <c r="DR171" s="32">
        <v>104</v>
      </c>
      <c r="DS171" s="73">
        <v>129</v>
      </c>
      <c r="DT171" s="71">
        <v>25</v>
      </c>
      <c r="DU171" s="21">
        <v>233</v>
      </c>
      <c r="DV171" s="31">
        <f t="shared" si="154"/>
        <v>268</v>
      </c>
      <c r="DW171" s="30">
        <f t="shared" si="185"/>
        <v>564</v>
      </c>
      <c r="DX171" s="36">
        <v>25</v>
      </c>
      <c r="DY171" s="23">
        <v>174</v>
      </c>
      <c r="DZ171" s="12">
        <v>169</v>
      </c>
      <c r="EA171" s="12">
        <f t="shared" si="159"/>
        <v>637</v>
      </c>
      <c r="EB171" s="12">
        <f t="shared" si="160"/>
        <v>746</v>
      </c>
      <c r="EC171" s="12">
        <f t="shared" si="161"/>
        <v>736</v>
      </c>
      <c r="ED171" s="12">
        <f t="shared" si="162"/>
        <v>577</v>
      </c>
      <c r="EE171" s="12">
        <f t="shared" si="163"/>
        <v>428</v>
      </c>
      <c r="EF171" s="12">
        <f t="shared" si="164"/>
        <v>289</v>
      </c>
      <c r="EG171" s="12">
        <f t="shared" si="165"/>
        <v>279</v>
      </c>
      <c r="EH171" s="12">
        <f t="shared" si="166"/>
        <v>279</v>
      </c>
      <c r="EI171" s="12">
        <f t="shared" si="167"/>
        <v>269</v>
      </c>
      <c r="EJ171" s="12">
        <f t="shared" si="168"/>
        <v>259</v>
      </c>
      <c r="EK171" s="12">
        <f t="shared" si="169"/>
        <v>567</v>
      </c>
      <c r="EL171" s="12">
        <f t="shared" si="170"/>
        <v>279</v>
      </c>
      <c r="EM171" s="12">
        <f t="shared" si="171"/>
        <v>269</v>
      </c>
      <c r="EN171" s="12">
        <f t="shared" si="172"/>
        <v>408</v>
      </c>
      <c r="EO171" s="12">
        <f t="shared" si="173"/>
        <v>259</v>
      </c>
      <c r="EP171" s="12">
        <f t="shared" si="174"/>
        <v>249</v>
      </c>
      <c r="EQ171" s="12">
        <f t="shared" si="175"/>
        <v>239</v>
      </c>
      <c r="ER171" s="12">
        <f t="shared" si="176"/>
        <v>398</v>
      </c>
      <c r="ES171" s="12">
        <f t="shared" si="177"/>
        <v>378</v>
      </c>
      <c r="ET171" s="12">
        <f t="shared" si="178"/>
        <v>229</v>
      </c>
      <c r="EU171" s="12">
        <f t="shared" si="179"/>
        <v>368</v>
      </c>
      <c r="EV171" s="12">
        <f t="shared" si="180"/>
        <v>229</v>
      </c>
      <c r="EW171" s="12">
        <f t="shared" si="181"/>
        <v>209</v>
      </c>
      <c r="EX171" s="12">
        <f t="shared" si="182"/>
        <v>199</v>
      </c>
      <c r="EY171" s="12">
        <f t="shared" si="183"/>
        <v>179</v>
      </c>
      <c r="EZ171" s="12">
        <v>171</v>
      </c>
    </row>
    <row r="172" spans="1:173" ht="13.35" customHeight="1" thickBot="1" x14ac:dyDescent="0.25">
      <c r="A172" s="12">
        <v>26</v>
      </c>
      <c r="B172" s="12">
        <f t="shared" si="186"/>
        <v>65</v>
      </c>
      <c r="E172" s="45"/>
      <c r="DQ172" s="35">
        <v>169</v>
      </c>
      <c r="DR172" s="32">
        <v>105</v>
      </c>
      <c r="DS172" s="73">
        <v>129.5</v>
      </c>
      <c r="DT172" s="71">
        <v>25</v>
      </c>
      <c r="DU172" s="21">
        <v>234</v>
      </c>
      <c r="DV172" s="31">
        <f t="shared" si="154"/>
        <v>269</v>
      </c>
      <c r="DW172" s="30">
        <f t="shared" si="185"/>
        <v>567</v>
      </c>
      <c r="DX172" s="36">
        <v>25</v>
      </c>
      <c r="DY172" s="23">
        <v>174.5</v>
      </c>
      <c r="DZ172" s="12">
        <v>170</v>
      </c>
      <c r="EA172" s="12">
        <f t="shared" si="159"/>
        <v>640</v>
      </c>
      <c r="EB172" s="12">
        <f t="shared" si="160"/>
        <v>750</v>
      </c>
      <c r="EC172" s="12">
        <f t="shared" si="161"/>
        <v>740</v>
      </c>
      <c r="ED172" s="12">
        <f t="shared" si="162"/>
        <v>580</v>
      </c>
      <c r="EE172" s="12">
        <f t="shared" si="163"/>
        <v>430</v>
      </c>
      <c r="EF172" s="12">
        <f t="shared" si="164"/>
        <v>290</v>
      </c>
      <c r="EG172" s="12">
        <f t="shared" si="165"/>
        <v>280</v>
      </c>
      <c r="EH172" s="12">
        <f t="shared" si="166"/>
        <v>280</v>
      </c>
      <c r="EI172" s="12">
        <f t="shared" si="167"/>
        <v>270</v>
      </c>
      <c r="EJ172" s="12">
        <f t="shared" si="168"/>
        <v>260</v>
      </c>
      <c r="EK172" s="12">
        <f t="shared" si="169"/>
        <v>570</v>
      </c>
      <c r="EL172" s="12">
        <f t="shared" si="170"/>
        <v>280</v>
      </c>
      <c r="EM172" s="12">
        <f t="shared" si="171"/>
        <v>270</v>
      </c>
      <c r="EN172" s="12">
        <f t="shared" si="172"/>
        <v>410</v>
      </c>
      <c r="EO172" s="12">
        <f t="shared" si="173"/>
        <v>260</v>
      </c>
      <c r="EP172" s="12">
        <f t="shared" si="174"/>
        <v>250</v>
      </c>
      <c r="EQ172" s="12">
        <f t="shared" si="175"/>
        <v>240</v>
      </c>
      <c r="ER172" s="12">
        <f t="shared" si="176"/>
        <v>400</v>
      </c>
      <c r="ES172" s="12">
        <f t="shared" si="177"/>
        <v>380</v>
      </c>
      <c r="ET172" s="12">
        <f t="shared" si="178"/>
        <v>230</v>
      </c>
      <c r="EU172" s="12">
        <f t="shared" si="179"/>
        <v>370</v>
      </c>
      <c r="EV172" s="12">
        <f t="shared" si="180"/>
        <v>230</v>
      </c>
      <c r="EW172" s="12">
        <f t="shared" si="181"/>
        <v>210</v>
      </c>
      <c r="EX172" s="12">
        <f t="shared" si="182"/>
        <v>200</v>
      </c>
      <c r="EY172" s="12">
        <f t="shared" si="183"/>
        <v>180</v>
      </c>
      <c r="EZ172" s="12">
        <v>172</v>
      </c>
    </row>
    <row r="173" spans="1:173" ht="13.35" customHeight="1" thickBot="1" x14ac:dyDescent="0.25">
      <c r="A173" s="12">
        <v>27</v>
      </c>
      <c r="B173" s="12">
        <f t="shared" si="186"/>
        <v>66</v>
      </c>
      <c r="E173" s="45"/>
      <c r="DQ173" s="35">
        <v>170</v>
      </c>
      <c r="DR173" s="32">
        <v>105</v>
      </c>
      <c r="DS173" s="73">
        <v>130</v>
      </c>
      <c r="DT173" s="71">
        <v>25</v>
      </c>
      <c r="DU173" s="21">
        <v>235</v>
      </c>
      <c r="DV173" s="31">
        <f t="shared" si="154"/>
        <v>270</v>
      </c>
      <c r="DW173" s="30">
        <f t="shared" si="185"/>
        <v>570</v>
      </c>
      <c r="DX173" s="36">
        <v>25</v>
      </c>
      <c r="DY173" s="23">
        <v>175</v>
      </c>
      <c r="DZ173" s="12">
        <v>171</v>
      </c>
      <c r="EA173" s="12">
        <f t="shared" si="159"/>
        <v>643</v>
      </c>
      <c r="EB173" s="12">
        <f t="shared" si="160"/>
        <v>754</v>
      </c>
      <c r="EC173" s="12">
        <f t="shared" si="161"/>
        <v>744</v>
      </c>
      <c r="ED173" s="12">
        <f t="shared" si="162"/>
        <v>583</v>
      </c>
      <c r="EE173" s="12">
        <f t="shared" si="163"/>
        <v>432</v>
      </c>
      <c r="EF173" s="12">
        <f t="shared" si="164"/>
        <v>291</v>
      </c>
      <c r="EG173" s="12">
        <f t="shared" si="165"/>
        <v>281</v>
      </c>
      <c r="EH173" s="12">
        <f t="shared" si="166"/>
        <v>281</v>
      </c>
      <c r="EI173" s="12">
        <f t="shared" si="167"/>
        <v>271</v>
      </c>
      <c r="EJ173" s="12">
        <f t="shared" si="168"/>
        <v>261</v>
      </c>
      <c r="EK173" s="12">
        <f t="shared" si="169"/>
        <v>573</v>
      </c>
      <c r="EL173" s="12">
        <f t="shared" si="170"/>
        <v>281</v>
      </c>
      <c r="EM173" s="12">
        <f t="shared" si="171"/>
        <v>271</v>
      </c>
      <c r="EN173" s="12">
        <f t="shared" si="172"/>
        <v>412</v>
      </c>
      <c r="EO173" s="12">
        <f t="shared" si="173"/>
        <v>261</v>
      </c>
      <c r="EP173" s="12">
        <f t="shared" si="174"/>
        <v>251</v>
      </c>
      <c r="EQ173" s="12">
        <f t="shared" si="175"/>
        <v>241</v>
      </c>
      <c r="ER173" s="12">
        <f t="shared" si="176"/>
        <v>402</v>
      </c>
      <c r="ES173" s="12">
        <f t="shared" si="177"/>
        <v>382</v>
      </c>
      <c r="ET173" s="12">
        <f t="shared" si="178"/>
        <v>231</v>
      </c>
      <c r="EU173" s="12">
        <f t="shared" si="179"/>
        <v>372</v>
      </c>
      <c r="EV173" s="12">
        <f t="shared" si="180"/>
        <v>231</v>
      </c>
      <c r="EW173" s="12">
        <f t="shared" si="181"/>
        <v>211</v>
      </c>
      <c r="EX173" s="12">
        <f t="shared" si="182"/>
        <v>201</v>
      </c>
      <c r="EY173" s="12">
        <f t="shared" si="183"/>
        <v>181</v>
      </c>
      <c r="EZ173" s="12">
        <v>173</v>
      </c>
    </row>
    <row r="174" spans="1:173" ht="13.35" customHeight="1" thickBot="1" x14ac:dyDescent="0.25">
      <c r="A174" s="12">
        <v>28</v>
      </c>
      <c r="B174" s="12">
        <f t="shared" si="186"/>
        <v>67</v>
      </c>
      <c r="E174" s="45"/>
      <c r="DQ174" s="35">
        <v>171</v>
      </c>
      <c r="DR174" s="32">
        <v>106</v>
      </c>
      <c r="DS174" s="73">
        <v>130.5</v>
      </c>
      <c r="DT174" s="71">
        <v>25</v>
      </c>
      <c r="DU174" s="21">
        <v>236</v>
      </c>
      <c r="DV174" s="31">
        <f t="shared" si="154"/>
        <v>271</v>
      </c>
      <c r="DW174" s="30">
        <f t="shared" si="185"/>
        <v>573</v>
      </c>
      <c r="DX174" s="36">
        <v>25</v>
      </c>
      <c r="DY174" s="23">
        <v>175.5</v>
      </c>
      <c r="DZ174" s="12">
        <v>172</v>
      </c>
      <c r="EA174" s="12">
        <f t="shared" si="159"/>
        <v>646</v>
      </c>
      <c r="EB174" s="12">
        <f t="shared" si="160"/>
        <v>758</v>
      </c>
      <c r="EC174" s="12">
        <f t="shared" si="161"/>
        <v>748</v>
      </c>
      <c r="ED174" s="12">
        <f t="shared" si="162"/>
        <v>586</v>
      </c>
      <c r="EE174" s="12">
        <f t="shared" si="163"/>
        <v>434</v>
      </c>
      <c r="EF174" s="12">
        <f t="shared" si="164"/>
        <v>292</v>
      </c>
      <c r="EG174" s="12">
        <f t="shared" si="165"/>
        <v>282</v>
      </c>
      <c r="EH174" s="12">
        <f t="shared" si="166"/>
        <v>282</v>
      </c>
      <c r="EI174" s="12">
        <f t="shared" si="167"/>
        <v>272</v>
      </c>
      <c r="EJ174" s="12">
        <f t="shared" si="168"/>
        <v>262</v>
      </c>
      <c r="EK174" s="12">
        <f t="shared" si="169"/>
        <v>576</v>
      </c>
      <c r="EL174" s="12">
        <f t="shared" si="170"/>
        <v>282</v>
      </c>
      <c r="EM174" s="12">
        <f t="shared" si="171"/>
        <v>272</v>
      </c>
      <c r="EN174" s="12">
        <f t="shared" si="172"/>
        <v>414</v>
      </c>
      <c r="EO174" s="12">
        <f t="shared" si="173"/>
        <v>262</v>
      </c>
      <c r="EP174" s="12">
        <f t="shared" si="174"/>
        <v>252</v>
      </c>
      <c r="EQ174" s="12">
        <f t="shared" si="175"/>
        <v>242</v>
      </c>
      <c r="ER174" s="12">
        <f t="shared" si="176"/>
        <v>404</v>
      </c>
      <c r="ES174" s="12">
        <f t="shared" si="177"/>
        <v>384</v>
      </c>
      <c r="ET174" s="12">
        <f t="shared" si="178"/>
        <v>232</v>
      </c>
      <c r="EU174" s="12">
        <f t="shared" si="179"/>
        <v>374</v>
      </c>
      <c r="EV174" s="12">
        <f t="shared" si="180"/>
        <v>232</v>
      </c>
      <c r="EW174" s="12">
        <f t="shared" si="181"/>
        <v>212</v>
      </c>
      <c r="EX174" s="12">
        <f t="shared" si="182"/>
        <v>202</v>
      </c>
      <c r="EY174" s="12">
        <f t="shared" si="183"/>
        <v>182</v>
      </c>
      <c r="EZ174" s="12">
        <v>174</v>
      </c>
    </row>
    <row r="175" spans="1:173" ht="13.35" customHeight="1" thickBot="1" x14ac:dyDescent="0.25">
      <c r="A175" s="12">
        <v>29</v>
      </c>
      <c r="B175" s="12">
        <f t="shared" si="186"/>
        <v>68</v>
      </c>
      <c r="E175" s="45"/>
      <c r="DQ175" s="35">
        <v>172</v>
      </c>
      <c r="DR175" s="32">
        <v>106</v>
      </c>
      <c r="DS175" s="73">
        <v>131</v>
      </c>
      <c r="DT175" s="71">
        <v>25</v>
      </c>
      <c r="DU175" s="21">
        <v>237</v>
      </c>
      <c r="DV175" s="31">
        <f t="shared" si="154"/>
        <v>272</v>
      </c>
      <c r="DW175" s="30">
        <f t="shared" si="185"/>
        <v>576</v>
      </c>
      <c r="DX175" s="36">
        <v>25</v>
      </c>
      <c r="DY175" s="23">
        <v>176</v>
      </c>
      <c r="DZ175" s="12">
        <v>173</v>
      </c>
      <c r="EA175" s="12">
        <f t="shared" si="159"/>
        <v>649</v>
      </c>
      <c r="EB175" s="12">
        <f t="shared" si="160"/>
        <v>762</v>
      </c>
      <c r="EC175" s="12">
        <f t="shared" si="161"/>
        <v>752</v>
      </c>
      <c r="ED175" s="12">
        <f t="shared" si="162"/>
        <v>589</v>
      </c>
      <c r="EE175" s="12">
        <f t="shared" si="163"/>
        <v>436</v>
      </c>
      <c r="EF175" s="12">
        <f t="shared" si="164"/>
        <v>293</v>
      </c>
      <c r="EG175" s="12">
        <f t="shared" si="165"/>
        <v>283</v>
      </c>
      <c r="EH175" s="12">
        <f t="shared" si="166"/>
        <v>283</v>
      </c>
      <c r="EI175" s="12">
        <f t="shared" si="167"/>
        <v>273</v>
      </c>
      <c r="EJ175" s="12">
        <f t="shared" si="168"/>
        <v>263</v>
      </c>
      <c r="EK175" s="12">
        <f t="shared" si="169"/>
        <v>579</v>
      </c>
      <c r="EL175" s="12">
        <f t="shared" si="170"/>
        <v>283</v>
      </c>
      <c r="EM175" s="12">
        <f t="shared" si="171"/>
        <v>273</v>
      </c>
      <c r="EN175" s="12">
        <f t="shared" si="172"/>
        <v>416</v>
      </c>
      <c r="EO175" s="12">
        <f t="shared" si="173"/>
        <v>263</v>
      </c>
      <c r="EP175" s="12">
        <f t="shared" si="174"/>
        <v>253</v>
      </c>
      <c r="EQ175" s="12">
        <f t="shared" si="175"/>
        <v>243</v>
      </c>
      <c r="ER175" s="12">
        <f t="shared" si="176"/>
        <v>406</v>
      </c>
      <c r="ES175" s="12">
        <f t="shared" si="177"/>
        <v>386</v>
      </c>
      <c r="ET175" s="12">
        <f t="shared" si="178"/>
        <v>233</v>
      </c>
      <c r="EU175" s="12">
        <f t="shared" si="179"/>
        <v>376</v>
      </c>
      <c r="EV175" s="12">
        <f t="shared" si="180"/>
        <v>233</v>
      </c>
      <c r="EW175" s="12">
        <f t="shared" si="181"/>
        <v>213</v>
      </c>
      <c r="EX175" s="12">
        <f t="shared" si="182"/>
        <v>203</v>
      </c>
      <c r="EY175" s="12">
        <f t="shared" si="183"/>
        <v>183</v>
      </c>
      <c r="EZ175" s="12">
        <v>175</v>
      </c>
    </row>
    <row r="176" spans="1:173" ht="13.35" customHeight="1" thickBot="1" x14ac:dyDescent="0.25">
      <c r="A176" s="12">
        <v>30</v>
      </c>
      <c r="B176" s="12">
        <f t="shared" si="186"/>
        <v>69</v>
      </c>
      <c r="E176" s="45"/>
      <c r="F176" s="12" t="s">
        <v>763</v>
      </c>
      <c r="G176" s="12" t="s">
        <v>764</v>
      </c>
      <c r="H176" s="12" t="s">
        <v>765</v>
      </c>
      <c r="I176" s="12" t="s">
        <v>766</v>
      </c>
      <c r="J176" s="12" t="s">
        <v>767</v>
      </c>
      <c r="K176" s="12" t="s">
        <v>768</v>
      </c>
      <c r="L176" s="12" t="s">
        <v>769</v>
      </c>
      <c r="M176" s="12" t="s">
        <v>770</v>
      </c>
      <c r="N176" s="12" t="s">
        <v>771</v>
      </c>
      <c r="O176" s="12" t="s">
        <v>772</v>
      </c>
      <c r="P176" s="12" t="s">
        <v>773</v>
      </c>
      <c r="Q176" s="12" t="s">
        <v>774</v>
      </c>
      <c r="R176" s="12" t="s">
        <v>775</v>
      </c>
      <c r="S176" s="12" t="s">
        <v>181</v>
      </c>
      <c r="T176" s="12" t="s">
        <v>776</v>
      </c>
      <c r="U176" s="12" t="s">
        <v>777</v>
      </c>
      <c r="V176" s="12" t="s">
        <v>778</v>
      </c>
      <c r="W176" s="12" t="s">
        <v>779</v>
      </c>
      <c r="X176" s="12" t="s">
        <v>780</v>
      </c>
      <c r="Y176" s="12" t="s">
        <v>781</v>
      </c>
      <c r="AA176" s="12" t="str">
        <f>AA163</f>
        <v>Arcanist (AC)</v>
      </c>
      <c r="AB176" s="12" t="str">
        <f>AB163</f>
        <v>Wizard (AC)</v>
      </c>
      <c r="AC176" s="12" t="str">
        <f>AC163</f>
        <v>Chaotic (AC)</v>
      </c>
      <c r="AD176" s="12" t="str">
        <f>AD163</f>
        <v>Magehunter (AC)</v>
      </c>
      <c r="AF176" s="12" t="s">
        <v>786</v>
      </c>
      <c r="AG176" s="12" t="s">
        <v>787</v>
      </c>
      <c r="AH176" s="12" t="s">
        <v>788</v>
      </c>
      <c r="AJ176" s="12" t="s">
        <v>789</v>
      </c>
      <c r="AK176" s="12" t="s">
        <v>790</v>
      </c>
      <c r="AL176" s="12" t="s">
        <v>791</v>
      </c>
      <c r="AM176" s="12" t="s">
        <v>792</v>
      </c>
      <c r="AO176" s="12" t="s">
        <v>793</v>
      </c>
      <c r="AP176" s="12" t="s">
        <v>794</v>
      </c>
      <c r="AQ176" s="12" t="s">
        <v>795</v>
      </c>
      <c r="AS176" s="12" t="s">
        <v>796</v>
      </c>
      <c r="AT176" s="12" t="s">
        <v>797</v>
      </c>
      <c r="AU176" s="12" t="s">
        <v>798</v>
      </c>
      <c r="AV176" s="12" t="s">
        <v>799</v>
      </c>
      <c r="AW176" s="12" t="s">
        <v>800</v>
      </c>
      <c r="AX176" s="12" t="s">
        <v>801</v>
      </c>
      <c r="AY176" s="12" t="s">
        <v>802</v>
      </c>
      <c r="AZ176" s="12" t="s">
        <v>803</v>
      </c>
      <c r="BA176" s="12" t="str">
        <f t="shared" ref="BA176:CV176" si="187">BA163</f>
        <v>Priest of Culture</v>
      </c>
      <c r="BB176" s="12" t="str">
        <f t="shared" si="187"/>
        <v>Priest of Darkness, Night</v>
      </c>
      <c r="BC176" s="12" t="str">
        <f t="shared" si="187"/>
        <v>Priest of Dawn</v>
      </c>
      <c r="BD176" s="12" t="str">
        <f t="shared" si="187"/>
        <v>Priest of Death</v>
      </c>
      <c r="BE176" s="12" t="str">
        <f t="shared" si="187"/>
        <v>Priest of Disease</v>
      </c>
      <c r="BF176" s="12" t="str">
        <f t="shared" si="187"/>
        <v>Priest of Earth</v>
      </c>
      <c r="BG176" s="12" t="str">
        <f t="shared" si="187"/>
        <v>Priest of Fate, Destiny</v>
      </c>
      <c r="BH176" s="12" t="str">
        <f t="shared" si="187"/>
        <v>Priest of Fertility</v>
      </c>
      <c r="BI176" s="12" t="str">
        <f t="shared" si="187"/>
        <v>Priest of Fire</v>
      </c>
      <c r="BJ176" s="12" t="str">
        <f t="shared" si="187"/>
        <v>Priest of Fortune, Luck</v>
      </c>
      <c r="BK176" s="12" t="str">
        <f t="shared" si="187"/>
        <v>Priest of Guardianship</v>
      </c>
      <c r="BL176" s="12" t="str">
        <f t="shared" si="187"/>
        <v>Priest of Healing</v>
      </c>
      <c r="BM176" s="12" t="str">
        <f t="shared" si="187"/>
        <v>Priest of Hunting</v>
      </c>
      <c r="BN176" s="12" t="str">
        <f t="shared" si="187"/>
        <v>Priest of Justice, Revenge</v>
      </c>
      <c r="BO176" s="12" t="str">
        <f t="shared" si="187"/>
        <v>Priest of Light</v>
      </c>
      <c r="BP176" s="12" t="str">
        <f t="shared" si="187"/>
        <v>Priest of Lightning</v>
      </c>
      <c r="BQ176" s="12" t="str">
        <f t="shared" si="187"/>
        <v>Priest of Literature</v>
      </c>
      <c r="BR176" s="12" t="str">
        <f t="shared" si="187"/>
        <v>Priest of Love</v>
      </c>
      <c r="BS176" s="12" t="str">
        <f t="shared" si="187"/>
        <v>Priest of Magic</v>
      </c>
      <c r="BT176" s="12" t="str">
        <f t="shared" si="187"/>
        <v>Priest of Marriage</v>
      </c>
      <c r="BU176" s="12" t="str">
        <f t="shared" si="187"/>
        <v>Priest of Messengers</v>
      </c>
      <c r="BV176" s="12" t="str">
        <f t="shared" si="187"/>
        <v>Priest of Metalwork</v>
      </c>
      <c r="BW176" s="12" t="str">
        <f t="shared" si="187"/>
        <v>Priest of Mischief/Trickery</v>
      </c>
      <c r="BX176" s="12" t="str">
        <f t="shared" si="187"/>
        <v>Priest of Moon</v>
      </c>
      <c r="BY176" s="12" t="str">
        <f t="shared" si="187"/>
        <v>Priest of Music, Dance</v>
      </c>
      <c r="BZ176" s="12" t="str">
        <f t="shared" si="187"/>
        <v>Priest of Nature</v>
      </c>
      <c r="CA176" s="12" t="str">
        <f t="shared" si="187"/>
        <v>Priest of Ocean, Rivers</v>
      </c>
      <c r="CB176" s="12" t="str">
        <f t="shared" si="187"/>
        <v>Priest of Oracles</v>
      </c>
      <c r="CC176" s="12" t="str">
        <f t="shared" si="187"/>
        <v>Priest of Peace</v>
      </c>
      <c r="CD176" s="12" t="str">
        <f t="shared" si="187"/>
        <v>Priest of Prosperity</v>
      </c>
      <c r="CE176" s="12" t="str">
        <f t="shared" si="187"/>
        <v>Priest of Redemption</v>
      </c>
      <c r="CF176" s="12" t="str">
        <f t="shared" si="187"/>
        <v>Priest of Rulership</v>
      </c>
      <c r="CG176" s="12" t="str">
        <f t="shared" si="187"/>
        <v>Priest of Seasons</v>
      </c>
      <c r="CH176" s="12" t="str">
        <f t="shared" si="187"/>
        <v>Priest of Sky, Weather</v>
      </c>
      <c r="CI176" s="12" t="str">
        <f t="shared" si="187"/>
        <v>Priest of Strength</v>
      </c>
      <c r="CJ176" s="12" t="str">
        <f t="shared" si="187"/>
        <v>Priest of Sun</v>
      </c>
      <c r="CK176" s="12" t="str">
        <f t="shared" si="187"/>
        <v>Priest of Thunder</v>
      </c>
      <c r="CL176" s="12" t="str">
        <f t="shared" si="187"/>
        <v>Priest of Time</v>
      </c>
      <c r="CM176" s="12" t="str">
        <f t="shared" si="187"/>
        <v>Priest of Trade</v>
      </c>
      <c r="CN176" s="12" t="str">
        <f t="shared" si="187"/>
        <v>Priest of Vegetation</v>
      </c>
      <c r="CO176" s="12" t="str">
        <f t="shared" si="187"/>
        <v>Priest of War</v>
      </c>
      <c r="CP176" s="12" t="str">
        <f t="shared" si="187"/>
        <v>Priest of Wind</v>
      </c>
      <c r="CQ176" s="12" t="str">
        <f t="shared" si="187"/>
        <v>Priest of Wisdom</v>
      </c>
      <c r="CR176" s="12">
        <f t="shared" si="187"/>
        <v>0</v>
      </c>
      <c r="CS176" s="12" t="str">
        <f t="shared" si="187"/>
        <v>Barbarian (FRP)</v>
      </c>
      <c r="CT176" s="12" t="str">
        <f t="shared" si="187"/>
        <v>Outrider (FRP)</v>
      </c>
      <c r="CU176" s="12" t="str">
        <f t="shared" si="187"/>
        <v>Sage (FRP)</v>
      </c>
      <c r="CV176" s="12" t="str">
        <f t="shared" si="187"/>
        <v>Swashbuckler (FRP)</v>
      </c>
      <c r="CX176" s="12" t="s">
        <v>851</v>
      </c>
      <c r="CY176" s="12" t="s">
        <v>852</v>
      </c>
      <c r="CZ176" s="12" t="s">
        <v>853</v>
      </c>
      <c r="DA176" s="12" t="s">
        <v>1129</v>
      </c>
      <c r="DB176" s="12" t="s">
        <v>855</v>
      </c>
      <c r="DC176" s="12" t="s">
        <v>856</v>
      </c>
      <c r="DD176" s="12" t="s">
        <v>857</v>
      </c>
      <c r="DF176" s="12">
        <v>1</v>
      </c>
      <c r="DQ176" s="35">
        <v>173</v>
      </c>
      <c r="DR176" s="32">
        <v>107</v>
      </c>
      <c r="DS176" s="73">
        <v>131.5</v>
      </c>
      <c r="DT176" s="71">
        <v>25</v>
      </c>
      <c r="DU176" s="21">
        <v>238</v>
      </c>
      <c r="DV176" s="31">
        <f t="shared" si="154"/>
        <v>273</v>
      </c>
      <c r="DW176" s="30">
        <f t="shared" si="185"/>
        <v>579</v>
      </c>
      <c r="DX176" s="36">
        <v>25</v>
      </c>
      <c r="DY176" s="23">
        <v>176.5</v>
      </c>
      <c r="DZ176" s="12">
        <v>174</v>
      </c>
      <c r="EA176" s="12">
        <f t="shared" si="159"/>
        <v>652</v>
      </c>
      <c r="EB176" s="12">
        <f t="shared" si="160"/>
        <v>766</v>
      </c>
      <c r="EC176" s="12">
        <f t="shared" si="161"/>
        <v>756</v>
      </c>
      <c r="ED176" s="12">
        <f t="shared" si="162"/>
        <v>592</v>
      </c>
      <c r="EE176" s="12">
        <f t="shared" si="163"/>
        <v>438</v>
      </c>
      <c r="EF176" s="12">
        <f t="shared" si="164"/>
        <v>294</v>
      </c>
      <c r="EG176" s="12">
        <f t="shared" si="165"/>
        <v>284</v>
      </c>
      <c r="EH176" s="12">
        <f t="shared" si="166"/>
        <v>284</v>
      </c>
      <c r="EI176" s="12">
        <f t="shared" si="167"/>
        <v>274</v>
      </c>
      <c r="EJ176" s="12">
        <f t="shared" si="168"/>
        <v>264</v>
      </c>
      <c r="EK176" s="12">
        <f t="shared" si="169"/>
        <v>582</v>
      </c>
      <c r="EL176" s="12">
        <f t="shared" si="170"/>
        <v>284</v>
      </c>
      <c r="EM176" s="12">
        <f t="shared" si="171"/>
        <v>274</v>
      </c>
      <c r="EN176" s="12">
        <f t="shared" si="172"/>
        <v>418</v>
      </c>
      <c r="EO176" s="12">
        <f t="shared" si="173"/>
        <v>264</v>
      </c>
      <c r="EP176" s="12">
        <f t="shared" si="174"/>
        <v>254</v>
      </c>
      <c r="EQ176" s="12">
        <f t="shared" si="175"/>
        <v>244</v>
      </c>
      <c r="ER176" s="12">
        <f t="shared" si="176"/>
        <v>408</v>
      </c>
      <c r="ES176" s="12">
        <f t="shared" si="177"/>
        <v>388</v>
      </c>
      <c r="ET176" s="12">
        <f t="shared" si="178"/>
        <v>234</v>
      </c>
      <c r="EU176" s="12">
        <f t="shared" si="179"/>
        <v>378</v>
      </c>
      <c r="EV176" s="12">
        <f t="shared" si="180"/>
        <v>234</v>
      </c>
      <c r="EW176" s="12">
        <f t="shared" si="181"/>
        <v>214</v>
      </c>
      <c r="EX176" s="12">
        <f t="shared" si="182"/>
        <v>204</v>
      </c>
      <c r="EY176" s="12">
        <f t="shared" si="183"/>
        <v>184</v>
      </c>
      <c r="EZ176" s="12">
        <v>176</v>
      </c>
    </row>
    <row r="177" spans="1:156" ht="13.35" customHeight="1" thickBot="1" x14ac:dyDescent="0.25">
      <c r="A177" s="12">
        <v>31</v>
      </c>
      <c r="B177" s="12">
        <f t="shared" si="186"/>
        <v>70</v>
      </c>
      <c r="E177" s="45"/>
      <c r="F177" s="12" t="s">
        <v>246</v>
      </c>
      <c r="G177" s="12" t="s">
        <v>246</v>
      </c>
      <c r="H177" s="12" t="s">
        <v>246</v>
      </c>
      <c r="I177" s="12" t="s">
        <v>246</v>
      </c>
      <c r="J177" s="12" t="s">
        <v>246</v>
      </c>
      <c r="K177" s="12" t="s">
        <v>246</v>
      </c>
      <c r="L177" s="12" t="s">
        <v>246</v>
      </c>
      <c r="M177" s="12" t="s">
        <v>1853</v>
      </c>
      <c r="N177" s="12" t="s">
        <v>1853</v>
      </c>
      <c r="O177" s="12" t="s">
        <v>246</v>
      </c>
      <c r="P177" s="12" t="s">
        <v>246</v>
      </c>
      <c r="Q177" s="12" t="s">
        <v>1853</v>
      </c>
      <c r="R177" s="12" t="s">
        <v>246</v>
      </c>
      <c r="S177" s="12" t="s">
        <v>1853</v>
      </c>
      <c r="T177" s="12" t="s">
        <v>1853</v>
      </c>
      <c r="U177" s="12" t="s">
        <v>1853</v>
      </c>
      <c r="V177" s="12" t="s">
        <v>246</v>
      </c>
      <c r="W177" s="12" t="s">
        <v>246</v>
      </c>
      <c r="X177" s="12" t="s">
        <v>246</v>
      </c>
      <c r="Y177" s="12" t="s">
        <v>246</v>
      </c>
      <c r="AA177" s="12" t="s">
        <v>246</v>
      </c>
      <c r="AB177" s="12" t="s">
        <v>246</v>
      </c>
      <c r="AC177" s="12" t="s">
        <v>246</v>
      </c>
      <c r="AD177" s="12" t="s">
        <v>246</v>
      </c>
      <c r="AF177" s="12" t="s">
        <v>1853</v>
      </c>
      <c r="AG177" s="12" t="s">
        <v>246</v>
      </c>
      <c r="AH177" s="12" t="s">
        <v>246</v>
      </c>
      <c r="AJ177" s="12" t="s">
        <v>246</v>
      </c>
      <c r="AK177" s="12" t="s">
        <v>246</v>
      </c>
      <c r="AL177" s="12" t="s">
        <v>246</v>
      </c>
      <c r="AM177" s="12" t="s">
        <v>1853</v>
      </c>
      <c r="AO177" s="12" t="s">
        <v>1853</v>
      </c>
      <c r="AP177" s="12" t="s">
        <v>1853</v>
      </c>
      <c r="AQ177" s="12" t="s">
        <v>1853</v>
      </c>
      <c r="AS177" s="12" t="s">
        <v>1854</v>
      </c>
      <c r="AT177" s="12" t="s">
        <v>1855</v>
      </c>
      <c r="AU177" s="12" t="s">
        <v>1856</v>
      </c>
      <c r="AV177" s="12" t="s">
        <v>1857</v>
      </c>
      <c r="AW177" s="12" t="s">
        <v>1858</v>
      </c>
      <c r="AX177" s="12" t="s">
        <v>1859</v>
      </c>
      <c r="AY177" s="12" t="s">
        <v>1859</v>
      </c>
      <c r="AZ177" s="12" t="s">
        <v>1860</v>
      </c>
      <c r="BA177" s="12" t="s">
        <v>1855</v>
      </c>
      <c r="BB177" s="12" t="s">
        <v>1861</v>
      </c>
      <c r="BC177" s="12" t="s">
        <v>1853</v>
      </c>
      <c r="BD177" s="12" t="s">
        <v>1862</v>
      </c>
      <c r="BE177" s="12" t="s">
        <v>1861</v>
      </c>
      <c r="BF177" s="12" t="s">
        <v>1860</v>
      </c>
      <c r="BG177" s="12" t="s">
        <v>1862</v>
      </c>
      <c r="BH177" s="12" t="s">
        <v>1854</v>
      </c>
      <c r="BI177" s="12" t="s">
        <v>1853</v>
      </c>
      <c r="BJ177" s="12" t="s">
        <v>1863</v>
      </c>
      <c r="BK177" s="12" t="s">
        <v>1864</v>
      </c>
      <c r="BL177" s="12" t="s">
        <v>1865</v>
      </c>
      <c r="BM177" s="12" t="s">
        <v>1856</v>
      </c>
      <c r="BN177" s="12" t="s">
        <v>1862</v>
      </c>
      <c r="BO177" s="12" t="s">
        <v>1866</v>
      </c>
      <c r="BP177" s="12" t="s">
        <v>1867</v>
      </c>
      <c r="BQ177" s="12" t="s">
        <v>1855</v>
      </c>
      <c r="BR177" s="12" t="s">
        <v>1863</v>
      </c>
      <c r="BS177" s="12" t="s">
        <v>1868</v>
      </c>
      <c r="BT177" s="12" t="s">
        <v>172</v>
      </c>
      <c r="BU177" s="12" t="s">
        <v>1862</v>
      </c>
      <c r="BV177" s="12" t="s">
        <v>1860</v>
      </c>
      <c r="BW177" s="12" t="s">
        <v>1869</v>
      </c>
      <c r="BX177" s="12" t="s">
        <v>1868</v>
      </c>
      <c r="BY177" s="12" t="s">
        <v>1870</v>
      </c>
      <c r="BZ177" s="12" t="s">
        <v>1854</v>
      </c>
      <c r="CA177" s="12" t="s">
        <v>1871</v>
      </c>
      <c r="CB177" s="12" t="s">
        <v>1863</v>
      </c>
      <c r="CC177" s="12" t="s">
        <v>1872</v>
      </c>
      <c r="CD177" s="12" t="s">
        <v>1860</v>
      </c>
      <c r="CE177" s="12" t="s">
        <v>1873</v>
      </c>
      <c r="CF177" s="12" t="s">
        <v>1867</v>
      </c>
      <c r="CG177" s="12" t="s">
        <v>1854</v>
      </c>
      <c r="CH177" s="12" t="s">
        <v>1867</v>
      </c>
      <c r="CI177" s="12" t="s">
        <v>1859</v>
      </c>
      <c r="CJ177" s="12" t="s">
        <v>1853</v>
      </c>
      <c r="CK177" s="12" t="s">
        <v>1867</v>
      </c>
      <c r="CL177" s="12" t="s">
        <v>1862</v>
      </c>
      <c r="CM177" s="12" t="s">
        <v>1860</v>
      </c>
      <c r="CN177" s="12" t="s">
        <v>1854</v>
      </c>
      <c r="CO177" s="12" t="s">
        <v>1864</v>
      </c>
      <c r="CP177" s="12" t="s">
        <v>1867</v>
      </c>
      <c r="CQ177" s="12" t="s">
        <v>1867</v>
      </c>
      <c r="CS177" s="12" t="s">
        <v>246</v>
      </c>
      <c r="CT177" s="12" t="s">
        <v>246</v>
      </c>
      <c r="CU177" s="12" t="s">
        <v>246</v>
      </c>
      <c r="CV177" s="12" t="s">
        <v>246</v>
      </c>
      <c r="DF177" s="12">
        <v>2</v>
      </c>
      <c r="DQ177" s="35">
        <v>174</v>
      </c>
      <c r="DR177" s="32">
        <v>107</v>
      </c>
      <c r="DS177" s="73">
        <v>132</v>
      </c>
      <c r="DT177" s="71">
        <v>25</v>
      </c>
      <c r="DU177" s="21">
        <v>239</v>
      </c>
      <c r="DV177" s="31">
        <f t="shared" si="154"/>
        <v>274</v>
      </c>
      <c r="DW177" s="30">
        <f t="shared" si="185"/>
        <v>582</v>
      </c>
      <c r="DX177" s="36">
        <v>25</v>
      </c>
      <c r="DY177" s="23">
        <v>177</v>
      </c>
      <c r="DZ177" s="12">
        <v>175</v>
      </c>
      <c r="EA177" s="12">
        <f t="shared" si="159"/>
        <v>655</v>
      </c>
      <c r="EB177" s="12">
        <f t="shared" si="160"/>
        <v>770</v>
      </c>
      <c r="EC177" s="12">
        <f t="shared" si="161"/>
        <v>760</v>
      </c>
      <c r="ED177" s="12">
        <f t="shared" si="162"/>
        <v>595</v>
      </c>
      <c r="EE177" s="12">
        <f t="shared" si="163"/>
        <v>440</v>
      </c>
      <c r="EF177" s="12">
        <f t="shared" si="164"/>
        <v>295</v>
      </c>
      <c r="EG177" s="12">
        <f t="shared" si="165"/>
        <v>285</v>
      </c>
      <c r="EH177" s="12">
        <f t="shared" si="166"/>
        <v>285</v>
      </c>
      <c r="EI177" s="12">
        <f t="shared" si="167"/>
        <v>275</v>
      </c>
      <c r="EJ177" s="12">
        <f t="shared" si="168"/>
        <v>265</v>
      </c>
      <c r="EK177" s="12">
        <f t="shared" si="169"/>
        <v>585</v>
      </c>
      <c r="EL177" s="12">
        <f t="shared" si="170"/>
        <v>285</v>
      </c>
      <c r="EM177" s="12">
        <f t="shared" si="171"/>
        <v>275</v>
      </c>
      <c r="EN177" s="12">
        <f t="shared" si="172"/>
        <v>420</v>
      </c>
      <c r="EO177" s="12">
        <f t="shared" si="173"/>
        <v>265</v>
      </c>
      <c r="EP177" s="12">
        <f t="shared" si="174"/>
        <v>255</v>
      </c>
      <c r="EQ177" s="12">
        <f t="shared" si="175"/>
        <v>245</v>
      </c>
      <c r="ER177" s="12">
        <f t="shared" si="176"/>
        <v>410</v>
      </c>
      <c r="ES177" s="12">
        <f t="shared" si="177"/>
        <v>390</v>
      </c>
      <c r="ET177" s="12">
        <f t="shared" si="178"/>
        <v>235</v>
      </c>
      <c r="EU177" s="12">
        <f t="shared" si="179"/>
        <v>380</v>
      </c>
      <c r="EV177" s="12">
        <f t="shared" si="180"/>
        <v>235</v>
      </c>
      <c r="EW177" s="12">
        <f t="shared" si="181"/>
        <v>215</v>
      </c>
      <c r="EX177" s="12">
        <f t="shared" si="182"/>
        <v>205</v>
      </c>
      <c r="EY177" s="12">
        <f t="shared" si="183"/>
        <v>185</v>
      </c>
      <c r="EZ177" s="12">
        <v>177</v>
      </c>
    </row>
    <row r="178" spans="1:156" ht="13.35" customHeight="1" thickBot="1" x14ac:dyDescent="0.25">
      <c r="A178" s="12">
        <v>32</v>
      </c>
      <c r="B178" s="12">
        <f t="shared" si="186"/>
        <v>71</v>
      </c>
      <c r="D178" s="12" t="s">
        <v>1854</v>
      </c>
      <c r="E178" s="12" t="s">
        <v>1875</v>
      </c>
      <c r="F178" s="12" t="s">
        <v>1853</v>
      </c>
      <c r="G178" s="12" t="s">
        <v>1853</v>
      </c>
      <c r="H178" s="12" t="s">
        <v>1853</v>
      </c>
      <c r="I178" s="12" t="s">
        <v>1853</v>
      </c>
      <c r="J178" s="12" t="s">
        <v>1853</v>
      </c>
      <c r="K178" s="12" t="s">
        <v>1853</v>
      </c>
      <c r="L178" s="12" t="s">
        <v>1853</v>
      </c>
      <c r="M178" s="12" t="s">
        <v>1860</v>
      </c>
      <c r="N178" s="12" t="s">
        <v>1860</v>
      </c>
      <c r="O178" s="12" t="s">
        <v>1853</v>
      </c>
      <c r="P178" s="12" t="s">
        <v>1853</v>
      </c>
      <c r="Q178" s="12" t="s">
        <v>1860</v>
      </c>
      <c r="R178" s="12" t="s">
        <v>1853</v>
      </c>
      <c r="S178" s="12" t="s">
        <v>1860</v>
      </c>
      <c r="T178" s="12" t="s">
        <v>1860</v>
      </c>
      <c r="U178" s="12" t="s">
        <v>1860</v>
      </c>
      <c r="V178" s="12" t="s">
        <v>1853</v>
      </c>
      <c r="W178" s="12" t="s">
        <v>1853</v>
      </c>
      <c r="X178" s="12" t="s">
        <v>1853</v>
      </c>
      <c r="Y178" s="12" t="s">
        <v>1853</v>
      </c>
      <c r="AA178" s="12" t="s">
        <v>1853</v>
      </c>
      <c r="AB178" s="12" t="s">
        <v>1853</v>
      </c>
      <c r="AC178" s="12" t="s">
        <v>1853</v>
      </c>
      <c r="AD178" s="12" t="s">
        <v>1853</v>
      </c>
      <c r="AF178" s="12" t="s">
        <v>1860</v>
      </c>
      <c r="AG178" s="12" t="s">
        <v>1853</v>
      </c>
      <c r="AH178" s="12" t="s">
        <v>1853</v>
      </c>
      <c r="AJ178" s="12" t="s">
        <v>1853</v>
      </c>
      <c r="AK178" s="12" t="s">
        <v>1853</v>
      </c>
      <c r="AL178" s="12" t="s">
        <v>1853</v>
      </c>
      <c r="AM178" s="12" t="s">
        <v>1860</v>
      </c>
      <c r="AO178" s="12" t="s">
        <v>1860</v>
      </c>
      <c r="AP178" s="12" t="s">
        <v>1860</v>
      </c>
      <c r="AQ178" s="12" t="s">
        <v>1860</v>
      </c>
      <c r="CS178" s="12" t="s">
        <v>1853</v>
      </c>
      <c r="CT178" s="12" t="s">
        <v>1853</v>
      </c>
      <c r="CU178" s="12" t="s">
        <v>1853</v>
      </c>
      <c r="CV178" s="12" t="s">
        <v>1853</v>
      </c>
      <c r="DF178" s="12">
        <v>3</v>
      </c>
      <c r="DQ178" s="35">
        <v>175</v>
      </c>
      <c r="DR178" s="32">
        <v>108</v>
      </c>
      <c r="DS178" s="73">
        <v>132.5</v>
      </c>
      <c r="DT178" s="71">
        <v>25</v>
      </c>
      <c r="DU178" s="21">
        <v>240</v>
      </c>
      <c r="DV178" s="31">
        <f t="shared" si="154"/>
        <v>275</v>
      </c>
      <c r="DW178" s="30">
        <f t="shared" si="185"/>
        <v>585</v>
      </c>
      <c r="DX178" s="36">
        <v>25</v>
      </c>
      <c r="DY178" s="23">
        <v>177.5</v>
      </c>
      <c r="DZ178" s="12">
        <v>176</v>
      </c>
      <c r="EA178" s="12">
        <f t="shared" si="159"/>
        <v>658</v>
      </c>
      <c r="EB178" s="12">
        <f t="shared" si="160"/>
        <v>774</v>
      </c>
      <c r="EC178" s="12">
        <f t="shared" si="161"/>
        <v>764</v>
      </c>
      <c r="ED178" s="12">
        <f t="shared" si="162"/>
        <v>598</v>
      </c>
      <c r="EE178" s="12">
        <f t="shared" si="163"/>
        <v>442</v>
      </c>
      <c r="EF178" s="12">
        <f t="shared" si="164"/>
        <v>296</v>
      </c>
      <c r="EG178" s="12">
        <f t="shared" si="165"/>
        <v>286</v>
      </c>
      <c r="EH178" s="12">
        <f t="shared" si="166"/>
        <v>286</v>
      </c>
      <c r="EI178" s="12">
        <f t="shared" si="167"/>
        <v>276</v>
      </c>
      <c r="EJ178" s="12">
        <f t="shared" si="168"/>
        <v>266</v>
      </c>
      <c r="EK178" s="12">
        <f t="shared" si="169"/>
        <v>588</v>
      </c>
      <c r="EL178" s="12">
        <f t="shared" si="170"/>
        <v>286</v>
      </c>
      <c r="EM178" s="12">
        <f t="shared" si="171"/>
        <v>276</v>
      </c>
      <c r="EN178" s="12">
        <f t="shared" si="172"/>
        <v>422</v>
      </c>
      <c r="EO178" s="12">
        <f t="shared" si="173"/>
        <v>266</v>
      </c>
      <c r="EP178" s="12">
        <f t="shared" si="174"/>
        <v>256</v>
      </c>
      <c r="EQ178" s="12">
        <f t="shared" si="175"/>
        <v>246</v>
      </c>
      <c r="ER178" s="12">
        <f t="shared" si="176"/>
        <v>412</v>
      </c>
      <c r="ES178" s="12">
        <f t="shared" si="177"/>
        <v>392</v>
      </c>
      <c r="ET178" s="12">
        <f t="shared" si="178"/>
        <v>236</v>
      </c>
      <c r="EU178" s="12">
        <f t="shared" si="179"/>
        <v>382</v>
      </c>
      <c r="EV178" s="12">
        <f t="shared" si="180"/>
        <v>236</v>
      </c>
      <c r="EW178" s="12">
        <f t="shared" si="181"/>
        <v>216</v>
      </c>
      <c r="EX178" s="12">
        <f t="shared" si="182"/>
        <v>206</v>
      </c>
      <c r="EY178" s="12">
        <f t="shared" si="183"/>
        <v>186</v>
      </c>
      <c r="EZ178" s="12">
        <v>178</v>
      </c>
    </row>
    <row r="179" spans="1:156" ht="13.35" customHeight="1" thickBot="1" x14ac:dyDescent="0.25">
      <c r="A179" s="12">
        <v>33</v>
      </c>
      <c r="B179" s="12">
        <f t="shared" si="186"/>
        <v>72</v>
      </c>
      <c r="D179" s="12" t="s">
        <v>1867</v>
      </c>
      <c r="E179" s="12" t="s">
        <v>1876</v>
      </c>
      <c r="F179" s="12" t="s">
        <v>1860</v>
      </c>
      <c r="G179" s="12" t="s">
        <v>1860</v>
      </c>
      <c r="H179" s="12" t="s">
        <v>1860</v>
      </c>
      <c r="I179" s="12" t="s">
        <v>1860</v>
      </c>
      <c r="J179" s="12" t="s">
        <v>1860</v>
      </c>
      <c r="K179" s="12" t="s">
        <v>1860</v>
      </c>
      <c r="L179" s="12" t="s">
        <v>1860</v>
      </c>
      <c r="M179" s="12" t="s">
        <v>1869</v>
      </c>
      <c r="N179" s="12" t="s">
        <v>1869</v>
      </c>
      <c r="O179" s="12" t="s">
        <v>1860</v>
      </c>
      <c r="P179" s="12" t="s">
        <v>1860</v>
      </c>
      <c r="Q179" s="12" t="s">
        <v>1869</v>
      </c>
      <c r="R179" s="12" t="s">
        <v>1860</v>
      </c>
      <c r="S179" s="12" t="s">
        <v>1869</v>
      </c>
      <c r="T179" s="12" t="s">
        <v>1869</v>
      </c>
      <c r="U179" s="12" t="s">
        <v>1869</v>
      </c>
      <c r="V179" s="12" t="s">
        <v>1860</v>
      </c>
      <c r="W179" s="12" t="s">
        <v>1860</v>
      </c>
      <c r="X179" s="12" t="s">
        <v>1860</v>
      </c>
      <c r="Y179" s="12" t="s">
        <v>1860</v>
      </c>
      <c r="AA179" s="12" t="s">
        <v>1860</v>
      </c>
      <c r="AB179" s="12" t="s">
        <v>1860</v>
      </c>
      <c r="AC179" s="12" t="s">
        <v>1860</v>
      </c>
      <c r="AD179" s="12" t="s">
        <v>1860</v>
      </c>
      <c r="AF179" s="12" t="s">
        <v>1869</v>
      </c>
      <c r="AG179" s="12" t="s">
        <v>1860</v>
      </c>
      <c r="AH179" s="12" t="s">
        <v>1860</v>
      </c>
      <c r="AJ179" s="12" t="s">
        <v>1860</v>
      </c>
      <c r="AK179" s="12" t="s">
        <v>1860</v>
      </c>
      <c r="AL179" s="12" t="s">
        <v>1860</v>
      </c>
      <c r="AM179" s="12" t="s">
        <v>1869</v>
      </c>
      <c r="AO179" s="12" t="s">
        <v>1869</v>
      </c>
      <c r="AP179" s="12" t="s">
        <v>1869</v>
      </c>
      <c r="AQ179" s="12" t="s">
        <v>1869</v>
      </c>
      <c r="CS179" s="12" t="s">
        <v>1860</v>
      </c>
      <c r="CT179" s="12" t="s">
        <v>1860</v>
      </c>
      <c r="CU179" s="12" t="s">
        <v>1860</v>
      </c>
      <c r="CV179" s="12" t="s">
        <v>1860</v>
      </c>
      <c r="DF179" s="12">
        <v>4</v>
      </c>
      <c r="DQ179" s="35">
        <v>176</v>
      </c>
      <c r="DR179" s="32">
        <v>108</v>
      </c>
      <c r="DS179" s="73">
        <v>133</v>
      </c>
      <c r="DT179" s="71">
        <v>25</v>
      </c>
      <c r="DU179" s="21">
        <v>241</v>
      </c>
      <c r="DV179" s="31">
        <f t="shared" si="154"/>
        <v>276</v>
      </c>
      <c r="DW179" s="30">
        <f t="shared" si="185"/>
        <v>588</v>
      </c>
      <c r="DX179" s="36">
        <v>25</v>
      </c>
      <c r="DY179" s="23">
        <v>178</v>
      </c>
      <c r="DZ179" s="12">
        <v>177</v>
      </c>
      <c r="EA179" s="12">
        <f t="shared" si="159"/>
        <v>661</v>
      </c>
      <c r="EB179" s="12">
        <f t="shared" si="160"/>
        <v>778</v>
      </c>
      <c r="EC179" s="12">
        <f t="shared" si="161"/>
        <v>768</v>
      </c>
      <c r="ED179" s="12">
        <f t="shared" si="162"/>
        <v>601</v>
      </c>
      <c r="EE179" s="12">
        <f t="shared" si="163"/>
        <v>444</v>
      </c>
      <c r="EF179" s="12">
        <f t="shared" si="164"/>
        <v>297</v>
      </c>
      <c r="EG179" s="12">
        <f t="shared" si="165"/>
        <v>287</v>
      </c>
      <c r="EH179" s="12">
        <f t="shared" si="166"/>
        <v>287</v>
      </c>
      <c r="EI179" s="12">
        <f t="shared" si="167"/>
        <v>277</v>
      </c>
      <c r="EJ179" s="12">
        <f t="shared" si="168"/>
        <v>267</v>
      </c>
      <c r="EK179" s="12">
        <f t="shared" si="169"/>
        <v>591</v>
      </c>
      <c r="EL179" s="12">
        <f t="shared" si="170"/>
        <v>287</v>
      </c>
      <c r="EM179" s="12">
        <f t="shared" si="171"/>
        <v>277</v>
      </c>
      <c r="EN179" s="12">
        <f t="shared" si="172"/>
        <v>424</v>
      </c>
      <c r="EO179" s="12">
        <f t="shared" si="173"/>
        <v>267</v>
      </c>
      <c r="EP179" s="12">
        <f t="shared" si="174"/>
        <v>257</v>
      </c>
      <c r="EQ179" s="12">
        <f t="shared" si="175"/>
        <v>247</v>
      </c>
      <c r="ER179" s="12">
        <f t="shared" si="176"/>
        <v>414</v>
      </c>
      <c r="ES179" s="12">
        <f t="shared" si="177"/>
        <v>394</v>
      </c>
      <c r="ET179" s="12">
        <f t="shared" si="178"/>
        <v>237</v>
      </c>
      <c r="EU179" s="12">
        <f t="shared" si="179"/>
        <v>384</v>
      </c>
      <c r="EV179" s="12">
        <f t="shared" si="180"/>
        <v>237</v>
      </c>
      <c r="EW179" s="12">
        <f t="shared" si="181"/>
        <v>217</v>
      </c>
      <c r="EX179" s="12">
        <f t="shared" si="182"/>
        <v>207</v>
      </c>
      <c r="EY179" s="12">
        <f t="shared" si="183"/>
        <v>187</v>
      </c>
      <c r="EZ179" s="12">
        <v>179</v>
      </c>
    </row>
    <row r="180" spans="1:156" ht="13.35" customHeight="1" thickBot="1" x14ac:dyDescent="0.25">
      <c r="A180" s="78">
        <v>34</v>
      </c>
      <c r="B180" s="78">
        <f t="shared" si="186"/>
        <v>73</v>
      </c>
      <c r="D180" s="12" t="s">
        <v>1866</v>
      </c>
      <c r="E180" s="12" t="s">
        <v>1877</v>
      </c>
      <c r="F180" s="12" t="s">
        <v>1869</v>
      </c>
      <c r="G180" s="12" t="s">
        <v>1869</v>
      </c>
      <c r="H180" s="12" t="s">
        <v>1869</v>
      </c>
      <c r="I180" s="12" t="s">
        <v>1869</v>
      </c>
      <c r="J180" s="12" t="s">
        <v>1869</v>
      </c>
      <c r="K180" s="12" t="s">
        <v>1869</v>
      </c>
      <c r="L180" s="12" t="s">
        <v>1869</v>
      </c>
      <c r="M180" s="12" t="s">
        <v>1864</v>
      </c>
      <c r="N180" s="12" t="s">
        <v>1864</v>
      </c>
      <c r="O180" s="12" t="s">
        <v>1869</v>
      </c>
      <c r="P180" s="12" t="s">
        <v>1869</v>
      </c>
      <c r="Q180" s="12" t="s">
        <v>1864</v>
      </c>
      <c r="R180" s="12" t="s">
        <v>1869</v>
      </c>
      <c r="S180" s="12" t="s">
        <v>1864</v>
      </c>
      <c r="T180" s="12" t="s">
        <v>1864</v>
      </c>
      <c r="U180" s="12" t="s">
        <v>1864</v>
      </c>
      <c r="V180" s="12" t="s">
        <v>1869</v>
      </c>
      <c r="W180" s="12" t="s">
        <v>1869</v>
      </c>
      <c r="X180" s="12" t="s">
        <v>1869</v>
      </c>
      <c r="Y180" s="12" t="s">
        <v>1869</v>
      </c>
      <c r="AA180" s="12" t="s">
        <v>1869</v>
      </c>
      <c r="AB180" s="12" t="s">
        <v>1869</v>
      </c>
      <c r="AC180" s="12" t="s">
        <v>1869</v>
      </c>
      <c r="AD180" s="12" t="s">
        <v>1869</v>
      </c>
      <c r="AF180" s="12" t="s">
        <v>1864</v>
      </c>
      <c r="AG180" s="12" t="s">
        <v>1869</v>
      </c>
      <c r="AH180" s="12" t="s">
        <v>1869</v>
      </c>
      <c r="AJ180" s="12" t="s">
        <v>1869</v>
      </c>
      <c r="AK180" s="12" t="s">
        <v>1869</v>
      </c>
      <c r="AL180" s="12" t="s">
        <v>1869</v>
      </c>
      <c r="AM180" s="12" t="s">
        <v>1864</v>
      </c>
      <c r="AO180" s="12" t="s">
        <v>1864</v>
      </c>
      <c r="AP180" s="12" t="s">
        <v>1864</v>
      </c>
      <c r="AQ180" s="12" t="s">
        <v>1864</v>
      </c>
      <c r="CS180" s="12" t="s">
        <v>1869</v>
      </c>
      <c r="CT180" s="12" t="s">
        <v>1869</v>
      </c>
      <c r="CU180" s="12" t="s">
        <v>1869</v>
      </c>
      <c r="CV180" s="12" t="s">
        <v>1869</v>
      </c>
      <c r="DF180" s="12">
        <v>5</v>
      </c>
      <c r="DQ180" s="35">
        <v>177</v>
      </c>
      <c r="DR180" s="32">
        <v>109</v>
      </c>
      <c r="DS180" s="73">
        <v>133.5</v>
      </c>
      <c r="DT180" s="71">
        <v>25</v>
      </c>
      <c r="DU180" s="21">
        <v>242</v>
      </c>
      <c r="DV180" s="31">
        <f t="shared" si="154"/>
        <v>277</v>
      </c>
      <c r="DW180" s="30">
        <f t="shared" si="185"/>
        <v>591</v>
      </c>
      <c r="DX180" s="36">
        <v>25</v>
      </c>
      <c r="DY180" s="23">
        <v>178.5</v>
      </c>
      <c r="DZ180" s="12">
        <v>178</v>
      </c>
      <c r="EA180" s="12">
        <f t="shared" si="159"/>
        <v>664</v>
      </c>
      <c r="EB180" s="12">
        <f t="shared" si="160"/>
        <v>782</v>
      </c>
      <c r="EC180" s="12">
        <f t="shared" si="161"/>
        <v>772</v>
      </c>
      <c r="ED180" s="12">
        <f t="shared" si="162"/>
        <v>604</v>
      </c>
      <c r="EE180" s="12">
        <f t="shared" si="163"/>
        <v>446</v>
      </c>
      <c r="EF180" s="12">
        <f t="shared" si="164"/>
        <v>298</v>
      </c>
      <c r="EG180" s="12">
        <f t="shared" si="165"/>
        <v>288</v>
      </c>
      <c r="EH180" s="12">
        <f t="shared" si="166"/>
        <v>288</v>
      </c>
      <c r="EI180" s="12">
        <f t="shared" si="167"/>
        <v>278</v>
      </c>
      <c r="EJ180" s="12">
        <f t="shared" si="168"/>
        <v>268</v>
      </c>
      <c r="EK180" s="12">
        <f t="shared" si="169"/>
        <v>594</v>
      </c>
      <c r="EL180" s="12">
        <f t="shared" si="170"/>
        <v>288</v>
      </c>
      <c r="EM180" s="12">
        <f t="shared" si="171"/>
        <v>278</v>
      </c>
      <c r="EN180" s="12">
        <f t="shared" si="172"/>
        <v>426</v>
      </c>
      <c r="EO180" s="12">
        <f t="shared" si="173"/>
        <v>268</v>
      </c>
      <c r="EP180" s="12">
        <f t="shared" si="174"/>
        <v>258</v>
      </c>
      <c r="EQ180" s="12">
        <f t="shared" si="175"/>
        <v>248</v>
      </c>
      <c r="ER180" s="12">
        <f t="shared" si="176"/>
        <v>416</v>
      </c>
      <c r="ES180" s="12">
        <f t="shared" si="177"/>
        <v>396</v>
      </c>
      <c r="ET180" s="12">
        <f t="shared" si="178"/>
        <v>238</v>
      </c>
      <c r="EU180" s="12">
        <f t="shared" si="179"/>
        <v>386</v>
      </c>
      <c r="EV180" s="12">
        <f t="shared" si="180"/>
        <v>238</v>
      </c>
      <c r="EW180" s="12">
        <f t="shared" si="181"/>
        <v>218</v>
      </c>
      <c r="EX180" s="12">
        <f t="shared" si="182"/>
        <v>208</v>
      </c>
      <c r="EY180" s="12">
        <f t="shared" si="183"/>
        <v>188</v>
      </c>
      <c r="EZ180" s="12">
        <v>180</v>
      </c>
    </row>
    <row r="181" spans="1:156" ht="13.35" customHeight="1" thickBot="1" x14ac:dyDescent="0.25">
      <c r="A181" s="12">
        <v>35</v>
      </c>
      <c r="B181" s="12">
        <f t="shared" ref="B181:B190" si="188">A181+33</f>
        <v>68</v>
      </c>
      <c r="D181" s="12" t="s">
        <v>1871</v>
      </c>
      <c r="E181" s="12" t="s">
        <v>1879</v>
      </c>
      <c r="F181" s="12" t="s">
        <v>1864</v>
      </c>
      <c r="G181" s="12" t="s">
        <v>1864</v>
      </c>
      <c r="H181" s="12" t="s">
        <v>1864</v>
      </c>
      <c r="I181" s="12" t="s">
        <v>1864</v>
      </c>
      <c r="J181" s="12" t="s">
        <v>1864</v>
      </c>
      <c r="K181" s="12" t="s">
        <v>1864</v>
      </c>
      <c r="L181" s="12" t="s">
        <v>1864</v>
      </c>
      <c r="M181" s="12" t="s">
        <v>1865</v>
      </c>
      <c r="N181" s="12" t="s">
        <v>1865</v>
      </c>
      <c r="O181" s="12" t="s">
        <v>1864</v>
      </c>
      <c r="P181" s="12" t="s">
        <v>1864</v>
      </c>
      <c r="Q181" s="12" t="s">
        <v>1865</v>
      </c>
      <c r="R181" s="12" t="s">
        <v>1864</v>
      </c>
      <c r="S181" s="12" t="s">
        <v>1865</v>
      </c>
      <c r="T181" s="12" t="s">
        <v>1865</v>
      </c>
      <c r="U181" s="12" t="s">
        <v>1865</v>
      </c>
      <c r="V181" s="12" t="s">
        <v>1864</v>
      </c>
      <c r="W181" s="12" t="s">
        <v>1864</v>
      </c>
      <c r="X181" s="12" t="s">
        <v>1864</v>
      </c>
      <c r="Y181" s="12" t="s">
        <v>1864</v>
      </c>
      <c r="AA181" s="12" t="s">
        <v>1864</v>
      </c>
      <c r="AB181" s="12" t="s">
        <v>1864</v>
      </c>
      <c r="AC181" s="12" t="s">
        <v>1864</v>
      </c>
      <c r="AD181" s="12" t="s">
        <v>1864</v>
      </c>
      <c r="AF181" s="12" t="s">
        <v>1865</v>
      </c>
      <c r="AG181" s="12" t="s">
        <v>1864</v>
      </c>
      <c r="AH181" s="12" t="s">
        <v>1864</v>
      </c>
      <c r="AJ181" s="12" t="s">
        <v>1864</v>
      </c>
      <c r="AK181" s="12" t="s">
        <v>1864</v>
      </c>
      <c r="AL181" s="12" t="s">
        <v>1864</v>
      </c>
      <c r="AM181" s="12" t="s">
        <v>1865</v>
      </c>
      <c r="AO181" s="12" t="s">
        <v>1865</v>
      </c>
      <c r="AP181" s="12" t="s">
        <v>1865</v>
      </c>
      <c r="AQ181" s="12" t="s">
        <v>1865</v>
      </c>
      <c r="CS181" s="12" t="s">
        <v>1864</v>
      </c>
      <c r="CT181" s="12" t="s">
        <v>1864</v>
      </c>
      <c r="CU181" s="12" t="s">
        <v>1864</v>
      </c>
      <c r="CV181" s="12" t="s">
        <v>1864</v>
      </c>
      <c r="DF181" s="12">
        <v>6</v>
      </c>
      <c r="DQ181" s="35">
        <v>178</v>
      </c>
      <c r="DR181" s="32">
        <v>109</v>
      </c>
      <c r="DS181" s="73">
        <v>134</v>
      </c>
      <c r="DT181" s="71">
        <v>25</v>
      </c>
      <c r="DU181" s="21">
        <v>243</v>
      </c>
      <c r="DV181" s="31">
        <f t="shared" si="154"/>
        <v>278</v>
      </c>
      <c r="DW181" s="30">
        <f t="shared" si="185"/>
        <v>594</v>
      </c>
      <c r="DX181" s="36">
        <v>25</v>
      </c>
      <c r="DY181" s="23">
        <v>179</v>
      </c>
      <c r="DZ181" s="12">
        <v>179</v>
      </c>
      <c r="EA181" s="12">
        <f t="shared" si="159"/>
        <v>667</v>
      </c>
      <c r="EB181" s="12">
        <f t="shared" si="160"/>
        <v>786</v>
      </c>
      <c r="EC181" s="12">
        <f t="shared" si="161"/>
        <v>776</v>
      </c>
      <c r="ED181" s="12">
        <f t="shared" si="162"/>
        <v>607</v>
      </c>
      <c r="EE181" s="12">
        <f t="shared" si="163"/>
        <v>448</v>
      </c>
      <c r="EF181" s="12">
        <f t="shared" si="164"/>
        <v>299</v>
      </c>
      <c r="EG181" s="12">
        <f t="shared" si="165"/>
        <v>289</v>
      </c>
      <c r="EH181" s="12">
        <f t="shared" si="166"/>
        <v>289</v>
      </c>
      <c r="EI181" s="12">
        <f t="shared" si="167"/>
        <v>279</v>
      </c>
      <c r="EJ181" s="12">
        <f t="shared" si="168"/>
        <v>269</v>
      </c>
      <c r="EK181" s="12">
        <f t="shared" si="169"/>
        <v>597</v>
      </c>
      <c r="EL181" s="12">
        <f t="shared" si="170"/>
        <v>289</v>
      </c>
      <c r="EM181" s="12">
        <f t="shared" si="171"/>
        <v>279</v>
      </c>
      <c r="EN181" s="12">
        <f t="shared" si="172"/>
        <v>428</v>
      </c>
      <c r="EO181" s="12">
        <f t="shared" si="173"/>
        <v>269</v>
      </c>
      <c r="EP181" s="12">
        <f t="shared" si="174"/>
        <v>259</v>
      </c>
      <c r="EQ181" s="12">
        <f t="shared" si="175"/>
        <v>249</v>
      </c>
      <c r="ER181" s="12">
        <f t="shared" si="176"/>
        <v>418</v>
      </c>
      <c r="ES181" s="12">
        <f t="shared" si="177"/>
        <v>398</v>
      </c>
      <c r="ET181" s="12">
        <f t="shared" si="178"/>
        <v>239</v>
      </c>
      <c r="EU181" s="12">
        <f t="shared" si="179"/>
        <v>388</v>
      </c>
      <c r="EV181" s="12">
        <f t="shared" si="180"/>
        <v>239</v>
      </c>
      <c r="EW181" s="12">
        <f t="shared" si="181"/>
        <v>219</v>
      </c>
      <c r="EX181" s="12">
        <f t="shared" si="182"/>
        <v>209</v>
      </c>
      <c r="EY181" s="12">
        <f t="shared" si="183"/>
        <v>189</v>
      </c>
      <c r="EZ181" s="12">
        <v>181</v>
      </c>
    </row>
    <row r="182" spans="1:156" ht="13.35" customHeight="1" thickBot="1" x14ac:dyDescent="0.25">
      <c r="A182" s="12">
        <v>36</v>
      </c>
      <c r="B182" s="12">
        <f t="shared" si="188"/>
        <v>69</v>
      </c>
      <c r="D182" s="12" t="s">
        <v>1860</v>
      </c>
      <c r="E182" s="12" t="s">
        <v>1881</v>
      </c>
      <c r="F182" s="12" t="s">
        <v>1865</v>
      </c>
      <c r="G182" s="12" t="s">
        <v>1865</v>
      </c>
      <c r="H182" s="12" t="s">
        <v>1865</v>
      </c>
      <c r="I182" s="12" t="s">
        <v>1865</v>
      </c>
      <c r="J182" s="12" t="s">
        <v>1865</v>
      </c>
      <c r="K182" s="12" t="s">
        <v>1865</v>
      </c>
      <c r="L182" s="12" t="s">
        <v>1865</v>
      </c>
      <c r="M182" s="12" t="s">
        <v>1872</v>
      </c>
      <c r="N182" s="12" t="s">
        <v>1872</v>
      </c>
      <c r="O182" s="12" t="s">
        <v>1865</v>
      </c>
      <c r="P182" s="12" t="s">
        <v>1865</v>
      </c>
      <c r="Q182" s="12" t="s">
        <v>1872</v>
      </c>
      <c r="R182" s="12" t="s">
        <v>1865</v>
      </c>
      <c r="S182" s="12" t="s">
        <v>1872</v>
      </c>
      <c r="T182" s="12" t="s">
        <v>1872</v>
      </c>
      <c r="U182" s="12" t="s">
        <v>1872</v>
      </c>
      <c r="V182" s="12" t="s">
        <v>1865</v>
      </c>
      <c r="W182" s="12" t="s">
        <v>1865</v>
      </c>
      <c r="X182" s="12" t="s">
        <v>1865</v>
      </c>
      <c r="Y182" s="12" t="s">
        <v>1865</v>
      </c>
      <c r="AA182" s="12" t="s">
        <v>1865</v>
      </c>
      <c r="AB182" s="12" t="s">
        <v>1865</v>
      </c>
      <c r="AC182" s="12" t="s">
        <v>1865</v>
      </c>
      <c r="AD182" s="12" t="s">
        <v>1865</v>
      </c>
      <c r="AF182" s="12" t="s">
        <v>1872</v>
      </c>
      <c r="AG182" s="12" t="s">
        <v>1865</v>
      </c>
      <c r="AH182" s="12" t="s">
        <v>1865</v>
      </c>
      <c r="AJ182" s="12" t="s">
        <v>1865</v>
      </c>
      <c r="AK182" s="12" t="s">
        <v>1865</v>
      </c>
      <c r="AL182" s="12" t="s">
        <v>1865</v>
      </c>
      <c r="AM182" s="12" t="s">
        <v>1872</v>
      </c>
      <c r="AO182" s="12" t="s">
        <v>1872</v>
      </c>
      <c r="AP182" s="12" t="s">
        <v>1872</v>
      </c>
      <c r="AQ182" s="12" t="s">
        <v>1872</v>
      </c>
      <c r="CS182" s="12" t="s">
        <v>1865</v>
      </c>
      <c r="CT182" s="12" t="s">
        <v>1865</v>
      </c>
      <c r="CU182" s="12" t="s">
        <v>1865</v>
      </c>
      <c r="CV182" s="12" t="s">
        <v>1865</v>
      </c>
      <c r="DF182" s="12">
        <v>7</v>
      </c>
      <c r="DQ182" s="35">
        <v>179</v>
      </c>
      <c r="DR182" s="32">
        <v>110</v>
      </c>
      <c r="DS182" s="73">
        <v>134.5</v>
      </c>
      <c r="DT182" s="71">
        <v>25</v>
      </c>
      <c r="DU182" s="21">
        <v>244</v>
      </c>
      <c r="DV182" s="31">
        <f t="shared" si="154"/>
        <v>279</v>
      </c>
      <c r="DW182" s="30">
        <f t="shared" si="185"/>
        <v>597</v>
      </c>
      <c r="DX182" s="36">
        <v>25</v>
      </c>
      <c r="DY182" s="23">
        <v>179.5</v>
      </c>
      <c r="DZ182" s="12">
        <v>180</v>
      </c>
      <c r="EA182" s="12">
        <f t="shared" si="159"/>
        <v>670</v>
      </c>
      <c r="EB182" s="12">
        <f t="shared" si="160"/>
        <v>790</v>
      </c>
      <c r="EC182" s="12">
        <f t="shared" si="161"/>
        <v>780</v>
      </c>
      <c r="ED182" s="12">
        <f t="shared" si="162"/>
        <v>610</v>
      </c>
      <c r="EE182" s="12">
        <f t="shared" si="163"/>
        <v>450</v>
      </c>
      <c r="EF182" s="12">
        <f t="shared" si="164"/>
        <v>300</v>
      </c>
      <c r="EG182" s="12">
        <f t="shared" si="165"/>
        <v>290</v>
      </c>
      <c r="EH182" s="12">
        <f t="shared" si="166"/>
        <v>290</v>
      </c>
      <c r="EI182" s="12">
        <f t="shared" si="167"/>
        <v>280</v>
      </c>
      <c r="EJ182" s="12">
        <f t="shared" si="168"/>
        <v>270</v>
      </c>
      <c r="EK182" s="12">
        <f t="shared" si="169"/>
        <v>600</v>
      </c>
      <c r="EL182" s="12">
        <f t="shared" si="170"/>
        <v>290</v>
      </c>
      <c r="EM182" s="12">
        <f t="shared" si="171"/>
        <v>280</v>
      </c>
      <c r="EN182" s="12">
        <f t="shared" si="172"/>
        <v>430</v>
      </c>
      <c r="EO182" s="12">
        <f t="shared" si="173"/>
        <v>270</v>
      </c>
      <c r="EP182" s="12">
        <f t="shared" si="174"/>
        <v>260</v>
      </c>
      <c r="EQ182" s="12">
        <f t="shared" si="175"/>
        <v>250</v>
      </c>
      <c r="ER182" s="12">
        <f t="shared" si="176"/>
        <v>420</v>
      </c>
      <c r="ES182" s="12">
        <f t="shared" si="177"/>
        <v>400</v>
      </c>
      <c r="ET182" s="12">
        <f t="shared" si="178"/>
        <v>240</v>
      </c>
      <c r="EU182" s="12">
        <f t="shared" si="179"/>
        <v>390</v>
      </c>
      <c r="EV182" s="12">
        <f t="shared" si="180"/>
        <v>240</v>
      </c>
      <c r="EW182" s="12">
        <f t="shared" si="181"/>
        <v>220</v>
      </c>
      <c r="EX182" s="12">
        <f t="shared" si="182"/>
        <v>210</v>
      </c>
      <c r="EY182" s="12">
        <f t="shared" si="183"/>
        <v>190</v>
      </c>
      <c r="EZ182" s="12">
        <v>182</v>
      </c>
    </row>
    <row r="183" spans="1:156" ht="13.35" customHeight="1" thickBot="1" x14ac:dyDescent="0.25">
      <c r="A183" s="12">
        <v>37</v>
      </c>
      <c r="B183" s="12">
        <f t="shared" si="188"/>
        <v>70</v>
      </c>
      <c r="D183" s="12" t="s">
        <v>1862</v>
      </c>
      <c r="E183" s="12" t="s">
        <v>1883</v>
      </c>
      <c r="F183" s="12" t="s">
        <v>1872</v>
      </c>
      <c r="G183" s="12" t="s">
        <v>1872</v>
      </c>
      <c r="H183" s="12" t="s">
        <v>1872</v>
      </c>
      <c r="I183" s="12" t="s">
        <v>1872</v>
      </c>
      <c r="J183" s="12" t="s">
        <v>1872</v>
      </c>
      <c r="K183" s="12" t="s">
        <v>1872</v>
      </c>
      <c r="L183" s="12" t="s">
        <v>1872</v>
      </c>
      <c r="M183" s="12" t="s">
        <v>1863</v>
      </c>
      <c r="N183" s="12" t="s">
        <v>1863</v>
      </c>
      <c r="O183" s="12" t="s">
        <v>1872</v>
      </c>
      <c r="P183" s="12" t="s">
        <v>1872</v>
      </c>
      <c r="Q183" s="12" t="s">
        <v>1863</v>
      </c>
      <c r="R183" s="12" t="s">
        <v>1872</v>
      </c>
      <c r="S183" s="12" t="s">
        <v>1863</v>
      </c>
      <c r="T183" s="12" t="s">
        <v>1863</v>
      </c>
      <c r="U183" s="12" t="s">
        <v>1863</v>
      </c>
      <c r="V183" s="12" t="s">
        <v>1872</v>
      </c>
      <c r="W183" s="12" t="s">
        <v>1872</v>
      </c>
      <c r="X183" s="12" t="s">
        <v>1872</v>
      </c>
      <c r="Y183" s="12" t="s">
        <v>1872</v>
      </c>
      <c r="AA183" s="12" t="s">
        <v>1872</v>
      </c>
      <c r="AB183" s="12" t="s">
        <v>1872</v>
      </c>
      <c r="AC183" s="12" t="s">
        <v>1872</v>
      </c>
      <c r="AD183" s="12" t="s">
        <v>1872</v>
      </c>
      <c r="AF183" s="12" t="s">
        <v>1863</v>
      </c>
      <c r="AG183" s="12" t="s">
        <v>1872</v>
      </c>
      <c r="AH183" s="12" t="s">
        <v>1872</v>
      </c>
      <c r="AJ183" s="12" t="s">
        <v>1872</v>
      </c>
      <c r="AK183" s="12" t="s">
        <v>1872</v>
      </c>
      <c r="AL183" s="12" t="s">
        <v>1872</v>
      </c>
      <c r="AM183" s="12" t="s">
        <v>1863</v>
      </c>
      <c r="AO183" s="12" t="s">
        <v>1863</v>
      </c>
      <c r="AP183" s="12" t="s">
        <v>1863</v>
      </c>
      <c r="AQ183" s="12" t="s">
        <v>1863</v>
      </c>
      <c r="CS183" s="12" t="s">
        <v>1872</v>
      </c>
      <c r="CT183" s="12" t="s">
        <v>1872</v>
      </c>
      <c r="CU183" s="12" t="s">
        <v>1872</v>
      </c>
      <c r="CV183" s="12" t="s">
        <v>1872</v>
      </c>
      <c r="DF183" s="12">
        <v>8</v>
      </c>
      <c r="DQ183" s="35">
        <v>180</v>
      </c>
      <c r="DR183" s="32">
        <v>110</v>
      </c>
      <c r="DS183" s="73">
        <v>135</v>
      </c>
      <c r="DT183" s="71">
        <v>25</v>
      </c>
      <c r="DU183" s="21">
        <v>245</v>
      </c>
      <c r="DV183" s="31">
        <f t="shared" si="154"/>
        <v>280</v>
      </c>
      <c r="DW183" s="30">
        <f t="shared" si="185"/>
        <v>600</v>
      </c>
      <c r="DX183" s="36">
        <v>25</v>
      </c>
      <c r="DY183" s="23">
        <v>180</v>
      </c>
      <c r="DZ183" s="12">
        <v>181</v>
      </c>
      <c r="EA183" s="12">
        <f t="shared" si="159"/>
        <v>673</v>
      </c>
      <c r="EB183" s="12">
        <f t="shared" si="160"/>
        <v>794</v>
      </c>
      <c r="EC183" s="12">
        <f t="shared" si="161"/>
        <v>784</v>
      </c>
      <c r="ED183" s="12">
        <f t="shared" si="162"/>
        <v>613</v>
      </c>
      <c r="EE183" s="12">
        <f t="shared" si="163"/>
        <v>452</v>
      </c>
      <c r="EF183" s="12">
        <f t="shared" si="164"/>
        <v>301</v>
      </c>
      <c r="EG183" s="12">
        <f t="shared" si="165"/>
        <v>291</v>
      </c>
      <c r="EH183" s="12">
        <f t="shared" si="166"/>
        <v>291</v>
      </c>
      <c r="EI183" s="12">
        <f t="shared" si="167"/>
        <v>281</v>
      </c>
      <c r="EJ183" s="12">
        <f t="shared" si="168"/>
        <v>271</v>
      </c>
      <c r="EK183" s="12">
        <f t="shared" si="169"/>
        <v>603</v>
      </c>
      <c r="EL183" s="12">
        <f t="shared" si="170"/>
        <v>291</v>
      </c>
      <c r="EM183" s="12">
        <f t="shared" si="171"/>
        <v>281</v>
      </c>
      <c r="EN183" s="12">
        <f t="shared" si="172"/>
        <v>432</v>
      </c>
      <c r="EO183" s="12">
        <f t="shared" si="173"/>
        <v>271</v>
      </c>
      <c r="EP183" s="12">
        <f t="shared" si="174"/>
        <v>261</v>
      </c>
      <c r="EQ183" s="12">
        <f t="shared" si="175"/>
        <v>251</v>
      </c>
      <c r="ER183" s="12">
        <f t="shared" si="176"/>
        <v>422</v>
      </c>
      <c r="ES183" s="12">
        <f t="shared" si="177"/>
        <v>402</v>
      </c>
      <c r="ET183" s="12">
        <f t="shared" si="178"/>
        <v>241</v>
      </c>
      <c r="EU183" s="12">
        <f t="shared" si="179"/>
        <v>392</v>
      </c>
      <c r="EV183" s="12">
        <f t="shared" si="180"/>
        <v>241</v>
      </c>
      <c r="EW183" s="12">
        <f t="shared" si="181"/>
        <v>221</v>
      </c>
      <c r="EX183" s="12">
        <f t="shared" si="182"/>
        <v>211</v>
      </c>
      <c r="EY183" s="12">
        <f t="shared" si="183"/>
        <v>191</v>
      </c>
      <c r="EZ183" s="12">
        <v>183</v>
      </c>
    </row>
    <row r="184" spans="1:156" ht="13.35" customHeight="1" thickBot="1" x14ac:dyDescent="0.25">
      <c r="A184" s="12">
        <v>38</v>
      </c>
      <c r="B184" s="12">
        <f t="shared" si="188"/>
        <v>71</v>
      </c>
      <c r="D184" s="12" t="s">
        <v>1873</v>
      </c>
      <c r="E184" s="12" t="s">
        <v>1884</v>
      </c>
      <c r="F184" s="12" t="s">
        <v>1863</v>
      </c>
      <c r="G184" s="12" t="s">
        <v>1863</v>
      </c>
      <c r="H184" s="12" t="s">
        <v>1863</v>
      </c>
      <c r="I184" s="12" t="s">
        <v>1863</v>
      </c>
      <c r="J184" s="12" t="s">
        <v>1863</v>
      </c>
      <c r="K184" s="12" t="s">
        <v>1863</v>
      </c>
      <c r="L184" s="12" t="s">
        <v>1863</v>
      </c>
      <c r="M184" s="12" t="s">
        <v>1867</v>
      </c>
      <c r="N184" s="12" t="s">
        <v>1867</v>
      </c>
      <c r="O184" s="12" t="s">
        <v>1863</v>
      </c>
      <c r="P184" s="12" t="s">
        <v>1863</v>
      </c>
      <c r="Q184" s="12" t="s">
        <v>1867</v>
      </c>
      <c r="R184" s="12" t="s">
        <v>1863</v>
      </c>
      <c r="S184" s="12" t="s">
        <v>1867</v>
      </c>
      <c r="T184" s="12" t="s">
        <v>1867</v>
      </c>
      <c r="U184" s="12" t="s">
        <v>1867</v>
      </c>
      <c r="V184" s="12" t="s">
        <v>1863</v>
      </c>
      <c r="W184" s="12" t="s">
        <v>1863</v>
      </c>
      <c r="X184" s="12" t="s">
        <v>1863</v>
      </c>
      <c r="Y184" s="12" t="s">
        <v>1863</v>
      </c>
      <c r="AA184" s="12" t="s">
        <v>1863</v>
      </c>
      <c r="AB184" s="12" t="s">
        <v>1863</v>
      </c>
      <c r="AC184" s="12" t="s">
        <v>1863</v>
      </c>
      <c r="AD184" s="12" t="s">
        <v>1863</v>
      </c>
      <c r="AF184" s="12" t="s">
        <v>1867</v>
      </c>
      <c r="AG184" s="12" t="s">
        <v>1863</v>
      </c>
      <c r="AH184" s="12" t="s">
        <v>1863</v>
      </c>
      <c r="AJ184" s="12" t="s">
        <v>1863</v>
      </c>
      <c r="AK184" s="12" t="s">
        <v>1863</v>
      </c>
      <c r="AL184" s="12" t="s">
        <v>1863</v>
      </c>
      <c r="AM184" s="12" t="s">
        <v>1867</v>
      </c>
      <c r="AO184" s="12" t="s">
        <v>1867</v>
      </c>
      <c r="AP184" s="12" t="s">
        <v>1867</v>
      </c>
      <c r="AQ184" s="12" t="s">
        <v>1867</v>
      </c>
      <c r="CS184" s="12" t="s">
        <v>1863</v>
      </c>
      <c r="CT184" s="12" t="s">
        <v>1863</v>
      </c>
      <c r="CU184" s="12" t="s">
        <v>1863</v>
      </c>
      <c r="CV184" s="12" t="s">
        <v>1863</v>
      </c>
      <c r="DF184" s="12">
        <v>9</v>
      </c>
      <c r="DQ184" s="35">
        <v>181</v>
      </c>
      <c r="DR184" s="32">
        <v>111</v>
      </c>
      <c r="DS184" s="73">
        <v>135.5</v>
      </c>
      <c r="DT184" s="71">
        <v>25</v>
      </c>
      <c r="DU184" s="21">
        <v>246</v>
      </c>
      <c r="DV184" s="31">
        <f t="shared" si="154"/>
        <v>281</v>
      </c>
      <c r="DW184" s="30">
        <f t="shared" si="185"/>
        <v>603</v>
      </c>
      <c r="DX184" s="36">
        <v>25</v>
      </c>
      <c r="DY184" s="23">
        <v>180.5</v>
      </c>
      <c r="DZ184" s="12">
        <v>182</v>
      </c>
      <c r="EA184" s="12">
        <f t="shared" si="159"/>
        <v>676</v>
      </c>
      <c r="EB184" s="12">
        <f t="shared" si="160"/>
        <v>798</v>
      </c>
      <c r="EC184" s="12">
        <f t="shared" si="161"/>
        <v>788</v>
      </c>
      <c r="ED184" s="12">
        <f t="shared" si="162"/>
        <v>616</v>
      </c>
      <c r="EE184" s="12">
        <f t="shared" si="163"/>
        <v>454</v>
      </c>
      <c r="EF184" s="12">
        <f t="shared" si="164"/>
        <v>302</v>
      </c>
      <c r="EG184" s="12">
        <f t="shared" si="165"/>
        <v>292</v>
      </c>
      <c r="EH184" s="12">
        <f t="shared" si="166"/>
        <v>292</v>
      </c>
      <c r="EI184" s="12">
        <f t="shared" si="167"/>
        <v>282</v>
      </c>
      <c r="EJ184" s="12">
        <f t="shared" si="168"/>
        <v>272</v>
      </c>
      <c r="EK184" s="12">
        <f t="shared" si="169"/>
        <v>606</v>
      </c>
      <c r="EL184" s="12">
        <f t="shared" si="170"/>
        <v>292</v>
      </c>
      <c r="EM184" s="12">
        <f t="shared" si="171"/>
        <v>282</v>
      </c>
      <c r="EN184" s="12">
        <f t="shared" si="172"/>
        <v>434</v>
      </c>
      <c r="EO184" s="12">
        <f t="shared" si="173"/>
        <v>272</v>
      </c>
      <c r="EP184" s="12">
        <f t="shared" si="174"/>
        <v>262</v>
      </c>
      <c r="EQ184" s="12">
        <f t="shared" si="175"/>
        <v>252</v>
      </c>
      <c r="ER184" s="12">
        <f t="shared" si="176"/>
        <v>424</v>
      </c>
      <c r="ES184" s="12">
        <f t="shared" si="177"/>
        <v>404</v>
      </c>
      <c r="ET184" s="12">
        <f t="shared" si="178"/>
        <v>242</v>
      </c>
      <c r="EU184" s="12">
        <f t="shared" si="179"/>
        <v>394</v>
      </c>
      <c r="EV184" s="12">
        <f t="shared" si="180"/>
        <v>242</v>
      </c>
      <c r="EW184" s="12">
        <f t="shared" si="181"/>
        <v>222</v>
      </c>
      <c r="EX184" s="12">
        <f t="shared" si="182"/>
        <v>212</v>
      </c>
      <c r="EY184" s="12">
        <f t="shared" si="183"/>
        <v>192</v>
      </c>
      <c r="EZ184" s="12">
        <v>184</v>
      </c>
    </row>
    <row r="185" spans="1:156" ht="13.35" customHeight="1" thickBot="1" x14ac:dyDescent="0.25">
      <c r="A185" s="12">
        <v>39</v>
      </c>
      <c r="B185" s="12">
        <f t="shared" si="188"/>
        <v>72</v>
      </c>
      <c r="D185" s="12" t="s">
        <v>1856</v>
      </c>
      <c r="E185" s="12" t="s">
        <v>342</v>
      </c>
      <c r="F185" s="12" t="s">
        <v>1867</v>
      </c>
      <c r="G185" s="12" t="s">
        <v>1867</v>
      </c>
      <c r="H185" s="12" t="s">
        <v>1867</v>
      </c>
      <c r="I185" s="12" t="s">
        <v>1867</v>
      </c>
      <c r="J185" s="12" t="s">
        <v>1867</v>
      </c>
      <c r="K185" s="12" t="s">
        <v>1867</v>
      </c>
      <c r="L185" s="12" t="s">
        <v>1867</v>
      </c>
      <c r="M185" s="12" t="s">
        <v>1861</v>
      </c>
      <c r="N185" s="12" t="s">
        <v>1861</v>
      </c>
      <c r="O185" s="12" t="s">
        <v>1867</v>
      </c>
      <c r="P185" s="12" t="s">
        <v>1867</v>
      </c>
      <c r="Q185" s="12" t="s">
        <v>1861</v>
      </c>
      <c r="R185" s="12" t="s">
        <v>1867</v>
      </c>
      <c r="S185" s="12" t="s">
        <v>1861</v>
      </c>
      <c r="T185" s="12" t="s">
        <v>1861</v>
      </c>
      <c r="U185" s="12" t="s">
        <v>1861</v>
      </c>
      <c r="V185" s="12" t="s">
        <v>1867</v>
      </c>
      <c r="W185" s="12" t="s">
        <v>1867</v>
      </c>
      <c r="X185" s="12" t="s">
        <v>1867</v>
      </c>
      <c r="Y185" s="12" t="s">
        <v>1867</v>
      </c>
      <c r="AA185" s="12" t="s">
        <v>1867</v>
      </c>
      <c r="AB185" s="12" t="s">
        <v>1867</v>
      </c>
      <c r="AC185" s="12" t="s">
        <v>1867</v>
      </c>
      <c r="AD185" s="12" t="s">
        <v>1867</v>
      </c>
      <c r="AF185" s="12" t="s">
        <v>1861</v>
      </c>
      <c r="AG185" s="12" t="s">
        <v>1867</v>
      </c>
      <c r="AH185" s="12" t="s">
        <v>1867</v>
      </c>
      <c r="AJ185" s="12" t="s">
        <v>1867</v>
      </c>
      <c r="AK185" s="12" t="s">
        <v>1867</v>
      </c>
      <c r="AL185" s="12" t="s">
        <v>1867</v>
      </c>
      <c r="AM185" s="12" t="s">
        <v>1861</v>
      </c>
      <c r="AO185" s="12" t="s">
        <v>1861</v>
      </c>
      <c r="AP185" s="12" t="s">
        <v>1861</v>
      </c>
      <c r="AQ185" s="12" t="s">
        <v>1861</v>
      </c>
      <c r="CS185" s="12" t="s">
        <v>1867</v>
      </c>
      <c r="CT185" s="12" t="s">
        <v>1867</v>
      </c>
      <c r="CU185" s="12" t="s">
        <v>1867</v>
      </c>
      <c r="CV185" s="12" t="s">
        <v>1867</v>
      </c>
      <c r="DF185" s="12">
        <v>10</v>
      </c>
      <c r="DQ185" s="35">
        <v>182</v>
      </c>
      <c r="DR185" s="32">
        <v>111</v>
      </c>
      <c r="DS185" s="73">
        <v>136</v>
      </c>
      <c r="DT185" s="71">
        <v>25</v>
      </c>
      <c r="DU185" s="21">
        <v>247</v>
      </c>
      <c r="DV185" s="31">
        <f t="shared" si="154"/>
        <v>282</v>
      </c>
      <c r="DW185" s="30">
        <f t="shared" si="185"/>
        <v>606</v>
      </c>
      <c r="DX185" s="36">
        <v>25</v>
      </c>
      <c r="DY185" s="23">
        <v>181</v>
      </c>
      <c r="DZ185" s="12">
        <v>183</v>
      </c>
      <c r="EA185" s="12">
        <f t="shared" si="159"/>
        <v>679</v>
      </c>
      <c r="EB185" s="12">
        <f t="shared" si="160"/>
        <v>802</v>
      </c>
      <c r="EC185" s="12">
        <f t="shared" si="161"/>
        <v>792</v>
      </c>
      <c r="ED185" s="12">
        <f t="shared" si="162"/>
        <v>619</v>
      </c>
      <c r="EE185" s="12">
        <f t="shared" si="163"/>
        <v>456</v>
      </c>
      <c r="EF185" s="12">
        <f t="shared" si="164"/>
        <v>303</v>
      </c>
      <c r="EG185" s="12">
        <f t="shared" si="165"/>
        <v>293</v>
      </c>
      <c r="EH185" s="12">
        <f t="shared" si="166"/>
        <v>293</v>
      </c>
      <c r="EI185" s="12">
        <f t="shared" si="167"/>
        <v>283</v>
      </c>
      <c r="EJ185" s="12">
        <f t="shared" si="168"/>
        <v>273</v>
      </c>
      <c r="EK185" s="12">
        <f t="shared" si="169"/>
        <v>609</v>
      </c>
      <c r="EL185" s="12">
        <f t="shared" si="170"/>
        <v>293</v>
      </c>
      <c r="EM185" s="12">
        <f t="shared" si="171"/>
        <v>283</v>
      </c>
      <c r="EN185" s="12">
        <f t="shared" si="172"/>
        <v>436</v>
      </c>
      <c r="EO185" s="12">
        <f t="shared" si="173"/>
        <v>273</v>
      </c>
      <c r="EP185" s="12">
        <f t="shared" si="174"/>
        <v>263</v>
      </c>
      <c r="EQ185" s="12">
        <f t="shared" si="175"/>
        <v>253</v>
      </c>
      <c r="ER185" s="12">
        <f t="shared" si="176"/>
        <v>426</v>
      </c>
      <c r="ES185" s="12">
        <f t="shared" si="177"/>
        <v>406</v>
      </c>
      <c r="ET185" s="12">
        <f t="shared" si="178"/>
        <v>243</v>
      </c>
      <c r="EU185" s="12">
        <f t="shared" si="179"/>
        <v>396</v>
      </c>
      <c r="EV185" s="12">
        <f t="shared" si="180"/>
        <v>243</v>
      </c>
      <c r="EW185" s="12">
        <f t="shared" si="181"/>
        <v>223</v>
      </c>
      <c r="EX185" s="12">
        <f t="shared" si="182"/>
        <v>213</v>
      </c>
      <c r="EY185" s="12">
        <f t="shared" si="183"/>
        <v>193</v>
      </c>
      <c r="EZ185" s="12">
        <v>185</v>
      </c>
    </row>
    <row r="186" spans="1:156" ht="13.35" customHeight="1" thickBot="1" x14ac:dyDescent="0.25">
      <c r="A186" s="12">
        <v>40</v>
      </c>
      <c r="B186" s="12">
        <f t="shared" si="188"/>
        <v>73</v>
      </c>
      <c r="D186" s="12" t="s">
        <v>1858</v>
      </c>
      <c r="E186" s="12" t="s">
        <v>1885</v>
      </c>
      <c r="F186" s="12" t="s">
        <v>1861</v>
      </c>
      <c r="G186" s="12" t="s">
        <v>1861</v>
      </c>
      <c r="H186" s="12" t="s">
        <v>1861</v>
      </c>
      <c r="I186" s="12" t="s">
        <v>1861</v>
      </c>
      <c r="J186" s="12" t="s">
        <v>1861</v>
      </c>
      <c r="K186" s="12" t="s">
        <v>1861</v>
      </c>
      <c r="L186" s="12" t="s">
        <v>1861</v>
      </c>
      <c r="M186" s="12" t="s">
        <v>1862</v>
      </c>
      <c r="N186" s="12" t="s">
        <v>1862</v>
      </c>
      <c r="O186" s="12" t="s">
        <v>1861</v>
      </c>
      <c r="P186" s="12" t="s">
        <v>1861</v>
      </c>
      <c r="Q186" s="12" t="s">
        <v>1862</v>
      </c>
      <c r="R186" s="12" t="s">
        <v>1861</v>
      </c>
      <c r="S186" s="12" t="s">
        <v>1862</v>
      </c>
      <c r="T186" s="12" t="s">
        <v>1862</v>
      </c>
      <c r="U186" s="12" t="s">
        <v>1862</v>
      </c>
      <c r="V186" s="12" t="s">
        <v>1861</v>
      </c>
      <c r="W186" s="12" t="s">
        <v>1861</v>
      </c>
      <c r="X186" s="12" t="s">
        <v>1861</v>
      </c>
      <c r="Y186" s="12" t="s">
        <v>1861</v>
      </c>
      <c r="AA186" s="12" t="s">
        <v>1861</v>
      </c>
      <c r="AB186" s="12" t="s">
        <v>1861</v>
      </c>
      <c r="AC186" s="12" t="s">
        <v>1861</v>
      </c>
      <c r="AD186" s="12" t="s">
        <v>1861</v>
      </c>
      <c r="AF186" s="12" t="s">
        <v>1862</v>
      </c>
      <c r="AG186" s="12" t="s">
        <v>1861</v>
      </c>
      <c r="AH186" s="12" t="s">
        <v>1861</v>
      </c>
      <c r="AJ186" s="12" t="s">
        <v>1861</v>
      </c>
      <c r="AK186" s="12" t="s">
        <v>1861</v>
      </c>
      <c r="AL186" s="12" t="s">
        <v>1861</v>
      </c>
      <c r="AM186" s="12" t="s">
        <v>1862</v>
      </c>
      <c r="AO186" s="12" t="s">
        <v>1862</v>
      </c>
      <c r="AP186" s="12" t="s">
        <v>1862</v>
      </c>
      <c r="AQ186" s="12" t="s">
        <v>1862</v>
      </c>
      <c r="CS186" s="12" t="s">
        <v>1861</v>
      </c>
      <c r="CT186" s="12" t="s">
        <v>1861</v>
      </c>
      <c r="CU186" s="12" t="s">
        <v>1861</v>
      </c>
      <c r="CV186" s="12" t="s">
        <v>1861</v>
      </c>
      <c r="DF186" s="12">
        <v>11</v>
      </c>
      <c r="DQ186" s="35">
        <v>183</v>
      </c>
      <c r="DR186" s="32">
        <v>112</v>
      </c>
      <c r="DS186" s="73">
        <v>136.5</v>
      </c>
      <c r="DT186" s="71">
        <v>25</v>
      </c>
      <c r="DU186" s="21">
        <v>248</v>
      </c>
      <c r="DV186" s="31">
        <f t="shared" si="154"/>
        <v>283</v>
      </c>
      <c r="DW186" s="30">
        <f t="shared" si="185"/>
        <v>609</v>
      </c>
      <c r="DX186" s="36">
        <v>25</v>
      </c>
      <c r="DY186" s="23">
        <v>181.5</v>
      </c>
      <c r="DZ186" s="12">
        <v>184</v>
      </c>
      <c r="EA186" s="12">
        <f t="shared" si="159"/>
        <v>682</v>
      </c>
      <c r="EB186" s="12">
        <f t="shared" si="160"/>
        <v>806</v>
      </c>
      <c r="EC186" s="12">
        <f t="shared" si="161"/>
        <v>796</v>
      </c>
      <c r="ED186" s="12">
        <f t="shared" si="162"/>
        <v>622</v>
      </c>
      <c r="EE186" s="12">
        <f t="shared" si="163"/>
        <v>458</v>
      </c>
      <c r="EF186" s="12">
        <f t="shared" si="164"/>
        <v>304</v>
      </c>
      <c r="EG186" s="12">
        <f t="shared" si="165"/>
        <v>294</v>
      </c>
      <c r="EH186" s="12">
        <f t="shared" si="166"/>
        <v>294</v>
      </c>
      <c r="EI186" s="12">
        <f t="shared" si="167"/>
        <v>284</v>
      </c>
      <c r="EJ186" s="12">
        <f t="shared" si="168"/>
        <v>274</v>
      </c>
      <c r="EK186" s="12">
        <f t="shared" si="169"/>
        <v>612</v>
      </c>
      <c r="EL186" s="12">
        <f t="shared" si="170"/>
        <v>294</v>
      </c>
      <c r="EM186" s="12">
        <f t="shared" si="171"/>
        <v>284</v>
      </c>
      <c r="EN186" s="12">
        <f t="shared" si="172"/>
        <v>438</v>
      </c>
      <c r="EO186" s="12">
        <f t="shared" si="173"/>
        <v>274</v>
      </c>
      <c r="EP186" s="12">
        <f t="shared" si="174"/>
        <v>264</v>
      </c>
      <c r="EQ186" s="12">
        <f t="shared" si="175"/>
        <v>254</v>
      </c>
      <c r="ER186" s="12">
        <f t="shared" si="176"/>
        <v>428</v>
      </c>
      <c r="ES186" s="12">
        <f t="shared" si="177"/>
        <v>408</v>
      </c>
      <c r="ET186" s="12">
        <f t="shared" si="178"/>
        <v>244</v>
      </c>
      <c r="EU186" s="12">
        <f t="shared" si="179"/>
        <v>398</v>
      </c>
      <c r="EV186" s="12">
        <f t="shared" si="180"/>
        <v>244</v>
      </c>
      <c r="EW186" s="12">
        <f t="shared" si="181"/>
        <v>224</v>
      </c>
      <c r="EX186" s="12">
        <f t="shared" si="182"/>
        <v>214</v>
      </c>
      <c r="EY186" s="12">
        <f t="shared" si="183"/>
        <v>194</v>
      </c>
      <c r="EZ186" s="12">
        <v>186</v>
      </c>
    </row>
    <row r="187" spans="1:156" ht="13.35" customHeight="1" thickBot="1" x14ac:dyDescent="0.25">
      <c r="A187" s="12">
        <v>41</v>
      </c>
      <c r="B187" s="12">
        <f t="shared" si="188"/>
        <v>74</v>
      </c>
      <c r="D187" s="12" t="s">
        <v>1859</v>
      </c>
      <c r="E187" s="12" t="s">
        <v>1886</v>
      </c>
      <c r="F187" s="12" t="s">
        <v>1862</v>
      </c>
      <c r="G187" s="12" t="s">
        <v>1862</v>
      </c>
      <c r="H187" s="12" t="s">
        <v>1862</v>
      </c>
      <c r="I187" s="12" t="s">
        <v>1862</v>
      </c>
      <c r="J187" s="12" t="s">
        <v>1862</v>
      </c>
      <c r="K187" s="12" t="s">
        <v>1862</v>
      </c>
      <c r="L187" s="12" t="s">
        <v>1862</v>
      </c>
      <c r="M187" s="12" t="s">
        <v>172</v>
      </c>
      <c r="N187" s="12" t="s">
        <v>172</v>
      </c>
      <c r="O187" s="12" t="s">
        <v>1862</v>
      </c>
      <c r="P187" s="12" t="s">
        <v>1862</v>
      </c>
      <c r="Q187" s="12" t="s">
        <v>172</v>
      </c>
      <c r="R187" s="12" t="s">
        <v>1862</v>
      </c>
      <c r="S187" s="12" t="s">
        <v>172</v>
      </c>
      <c r="T187" s="12" t="s">
        <v>172</v>
      </c>
      <c r="U187" s="12" t="s">
        <v>172</v>
      </c>
      <c r="V187" s="12" t="s">
        <v>1862</v>
      </c>
      <c r="W187" s="12" t="s">
        <v>1862</v>
      </c>
      <c r="X187" s="12" t="s">
        <v>1862</v>
      </c>
      <c r="Y187" s="12" t="s">
        <v>1862</v>
      </c>
      <c r="AA187" s="12" t="s">
        <v>1862</v>
      </c>
      <c r="AB187" s="12" t="s">
        <v>1862</v>
      </c>
      <c r="AC187" s="12" t="s">
        <v>1862</v>
      </c>
      <c r="AD187" s="12" t="s">
        <v>1862</v>
      </c>
      <c r="AF187" s="12" t="s">
        <v>172</v>
      </c>
      <c r="AG187" s="12" t="s">
        <v>1862</v>
      </c>
      <c r="AH187" s="12" t="s">
        <v>1862</v>
      </c>
      <c r="AJ187" s="12" t="s">
        <v>1862</v>
      </c>
      <c r="AK187" s="12" t="s">
        <v>1862</v>
      </c>
      <c r="AL187" s="12" t="s">
        <v>1862</v>
      </c>
      <c r="AM187" s="12" t="s">
        <v>172</v>
      </c>
      <c r="AO187" s="12" t="s">
        <v>172</v>
      </c>
      <c r="AP187" s="12" t="s">
        <v>172</v>
      </c>
      <c r="AQ187" s="12" t="s">
        <v>172</v>
      </c>
      <c r="CS187" s="12" t="s">
        <v>1862</v>
      </c>
      <c r="CT187" s="12" t="s">
        <v>1862</v>
      </c>
      <c r="CU187" s="12" t="s">
        <v>1862</v>
      </c>
      <c r="CV187" s="12" t="s">
        <v>1862</v>
      </c>
      <c r="DF187" s="12">
        <v>12</v>
      </c>
      <c r="DQ187" s="35">
        <v>184</v>
      </c>
      <c r="DR187" s="32">
        <v>112</v>
      </c>
      <c r="DS187" s="73">
        <v>137</v>
      </c>
      <c r="DT187" s="71">
        <v>25</v>
      </c>
      <c r="DU187" s="21">
        <v>249</v>
      </c>
      <c r="DV187" s="31">
        <f t="shared" si="154"/>
        <v>284</v>
      </c>
      <c r="DW187" s="30">
        <f t="shared" si="185"/>
        <v>612</v>
      </c>
      <c r="DX187" s="36">
        <v>25</v>
      </c>
      <c r="DY187" s="23">
        <v>182</v>
      </c>
      <c r="DZ187" s="12">
        <v>185</v>
      </c>
      <c r="EA187" s="12">
        <f t="shared" si="159"/>
        <v>685</v>
      </c>
      <c r="EB187" s="12">
        <f t="shared" si="160"/>
        <v>810</v>
      </c>
      <c r="EC187" s="12">
        <f t="shared" si="161"/>
        <v>800</v>
      </c>
      <c r="ED187" s="12">
        <f t="shared" si="162"/>
        <v>625</v>
      </c>
      <c r="EE187" s="12">
        <f t="shared" si="163"/>
        <v>460</v>
      </c>
      <c r="EF187" s="12">
        <f t="shared" si="164"/>
        <v>305</v>
      </c>
      <c r="EG187" s="12">
        <f t="shared" si="165"/>
        <v>295</v>
      </c>
      <c r="EH187" s="12">
        <f t="shared" si="166"/>
        <v>295</v>
      </c>
      <c r="EI187" s="12">
        <f t="shared" si="167"/>
        <v>285</v>
      </c>
      <c r="EJ187" s="12">
        <f t="shared" si="168"/>
        <v>275</v>
      </c>
      <c r="EK187" s="12">
        <f t="shared" si="169"/>
        <v>615</v>
      </c>
      <c r="EL187" s="12">
        <f t="shared" si="170"/>
        <v>295</v>
      </c>
      <c r="EM187" s="12">
        <f t="shared" si="171"/>
        <v>285</v>
      </c>
      <c r="EN187" s="12">
        <f t="shared" si="172"/>
        <v>440</v>
      </c>
      <c r="EO187" s="12">
        <f t="shared" si="173"/>
        <v>275</v>
      </c>
      <c r="EP187" s="12">
        <f t="shared" si="174"/>
        <v>265</v>
      </c>
      <c r="EQ187" s="12">
        <f t="shared" si="175"/>
        <v>255</v>
      </c>
      <c r="ER187" s="12">
        <f t="shared" si="176"/>
        <v>430</v>
      </c>
      <c r="ES187" s="12">
        <f t="shared" si="177"/>
        <v>410</v>
      </c>
      <c r="ET187" s="12">
        <f t="shared" si="178"/>
        <v>245</v>
      </c>
      <c r="EU187" s="12">
        <f t="shared" si="179"/>
        <v>400</v>
      </c>
      <c r="EV187" s="12">
        <f t="shared" si="180"/>
        <v>245</v>
      </c>
      <c r="EW187" s="12">
        <f t="shared" si="181"/>
        <v>225</v>
      </c>
      <c r="EX187" s="12">
        <f t="shared" si="182"/>
        <v>215</v>
      </c>
      <c r="EY187" s="12">
        <f t="shared" si="183"/>
        <v>195</v>
      </c>
      <c r="EZ187" s="12">
        <v>187</v>
      </c>
    </row>
    <row r="188" spans="1:156" ht="13.35" customHeight="1" thickBot="1" x14ac:dyDescent="0.25">
      <c r="A188" s="12">
        <v>42</v>
      </c>
      <c r="B188" s="12">
        <f t="shared" si="188"/>
        <v>75</v>
      </c>
      <c r="D188" s="12" t="s">
        <v>172</v>
      </c>
      <c r="E188" s="12" t="s">
        <v>1887</v>
      </c>
      <c r="F188" s="12" t="s">
        <v>172</v>
      </c>
      <c r="G188" s="12" t="s">
        <v>172</v>
      </c>
      <c r="H188" s="12" t="s">
        <v>172</v>
      </c>
      <c r="I188" s="12" t="s">
        <v>172</v>
      </c>
      <c r="J188" s="12" t="s">
        <v>172</v>
      </c>
      <c r="K188" s="12" t="s">
        <v>172</v>
      </c>
      <c r="L188" s="12" t="s">
        <v>172</v>
      </c>
      <c r="M188" s="12" t="s">
        <v>1873</v>
      </c>
      <c r="N188" s="12" t="s">
        <v>1873</v>
      </c>
      <c r="O188" s="12" t="s">
        <v>172</v>
      </c>
      <c r="P188" s="12" t="s">
        <v>172</v>
      </c>
      <c r="Q188" s="12" t="s">
        <v>1873</v>
      </c>
      <c r="R188" s="12" t="s">
        <v>172</v>
      </c>
      <c r="S188" s="12" t="s">
        <v>1873</v>
      </c>
      <c r="T188" s="12" t="s">
        <v>1873</v>
      </c>
      <c r="U188" s="12" t="s">
        <v>1873</v>
      </c>
      <c r="V188" s="12" t="s">
        <v>172</v>
      </c>
      <c r="W188" s="12" t="s">
        <v>172</v>
      </c>
      <c r="X188" s="12" t="s">
        <v>172</v>
      </c>
      <c r="Y188" s="12" t="s">
        <v>172</v>
      </c>
      <c r="AA188" s="12" t="s">
        <v>172</v>
      </c>
      <c r="AB188" s="12" t="s">
        <v>172</v>
      </c>
      <c r="AC188" s="12" t="s">
        <v>172</v>
      </c>
      <c r="AD188" s="12" t="s">
        <v>172</v>
      </c>
      <c r="AF188" s="12" t="s">
        <v>1873</v>
      </c>
      <c r="AG188" s="12" t="s">
        <v>172</v>
      </c>
      <c r="AH188" s="12" t="s">
        <v>172</v>
      </c>
      <c r="AJ188" s="12" t="s">
        <v>172</v>
      </c>
      <c r="AK188" s="12" t="s">
        <v>172</v>
      </c>
      <c r="AL188" s="12" t="s">
        <v>172</v>
      </c>
      <c r="AM188" s="12" t="s">
        <v>1873</v>
      </c>
      <c r="AO188" s="12" t="s">
        <v>1873</v>
      </c>
      <c r="AP188" s="12" t="s">
        <v>1873</v>
      </c>
      <c r="AQ188" s="12" t="s">
        <v>1873</v>
      </c>
      <c r="CS188" s="12" t="s">
        <v>172</v>
      </c>
      <c r="CT188" s="12" t="s">
        <v>172</v>
      </c>
      <c r="CU188" s="12" t="s">
        <v>172</v>
      </c>
      <c r="CV188" s="12" t="s">
        <v>172</v>
      </c>
      <c r="DF188" s="12">
        <v>13</v>
      </c>
      <c r="DQ188" s="35">
        <v>185</v>
      </c>
      <c r="DR188" s="32">
        <v>113</v>
      </c>
      <c r="DS188" s="73">
        <v>137.5</v>
      </c>
      <c r="DT188" s="71">
        <v>25</v>
      </c>
      <c r="DU188" s="21">
        <v>250</v>
      </c>
      <c r="DV188" s="31">
        <f t="shared" si="154"/>
        <v>285</v>
      </c>
      <c r="DW188" s="30">
        <f t="shared" si="185"/>
        <v>615</v>
      </c>
      <c r="DX188" s="36">
        <v>25</v>
      </c>
      <c r="DY188" s="23">
        <v>182.5</v>
      </c>
      <c r="DZ188" s="12">
        <v>186</v>
      </c>
      <c r="EA188" s="12">
        <f t="shared" si="159"/>
        <v>688</v>
      </c>
      <c r="EB188" s="12">
        <f t="shared" si="160"/>
        <v>814</v>
      </c>
      <c r="EC188" s="12">
        <f t="shared" si="161"/>
        <v>804</v>
      </c>
      <c r="ED188" s="12">
        <f t="shared" si="162"/>
        <v>628</v>
      </c>
      <c r="EE188" s="12">
        <f t="shared" si="163"/>
        <v>462</v>
      </c>
      <c r="EF188" s="12">
        <f t="shared" si="164"/>
        <v>306</v>
      </c>
      <c r="EG188" s="12">
        <f t="shared" si="165"/>
        <v>296</v>
      </c>
      <c r="EH188" s="12">
        <f t="shared" si="166"/>
        <v>296</v>
      </c>
      <c r="EI188" s="12">
        <f t="shared" si="167"/>
        <v>286</v>
      </c>
      <c r="EJ188" s="12">
        <f t="shared" si="168"/>
        <v>276</v>
      </c>
      <c r="EK188" s="12">
        <f t="shared" si="169"/>
        <v>618</v>
      </c>
      <c r="EL188" s="12">
        <f t="shared" si="170"/>
        <v>296</v>
      </c>
      <c r="EM188" s="12">
        <f t="shared" si="171"/>
        <v>286</v>
      </c>
      <c r="EN188" s="12">
        <f t="shared" si="172"/>
        <v>442</v>
      </c>
      <c r="EO188" s="12">
        <f t="shared" si="173"/>
        <v>276</v>
      </c>
      <c r="EP188" s="12">
        <f t="shared" si="174"/>
        <v>266</v>
      </c>
      <c r="EQ188" s="12">
        <f t="shared" si="175"/>
        <v>256</v>
      </c>
      <c r="ER188" s="12">
        <f t="shared" si="176"/>
        <v>432</v>
      </c>
      <c r="ES188" s="12">
        <f t="shared" si="177"/>
        <v>412</v>
      </c>
      <c r="ET188" s="12">
        <f t="shared" si="178"/>
        <v>246</v>
      </c>
      <c r="EU188" s="12">
        <f t="shared" si="179"/>
        <v>402</v>
      </c>
      <c r="EV188" s="12">
        <f t="shared" si="180"/>
        <v>246</v>
      </c>
      <c r="EW188" s="12">
        <f t="shared" si="181"/>
        <v>226</v>
      </c>
      <c r="EX188" s="12">
        <f t="shared" si="182"/>
        <v>216</v>
      </c>
      <c r="EY188" s="12">
        <f t="shared" si="183"/>
        <v>196</v>
      </c>
      <c r="EZ188" s="12">
        <v>188</v>
      </c>
    </row>
    <row r="189" spans="1:156" ht="13.35" customHeight="1" thickBot="1" x14ac:dyDescent="0.25">
      <c r="A189" s="12">
        <v>43</v>
      </c>
      <c r="B189" s="12">
        <f t="shared" si="188"/>
        <v>76</v>
      </c>
      <c r="D189" s="12" t="s">
        <v>1863</v>
      </c>
      <c r="E189" s="12" t="s">
        <v>1888</v>
      </c>
      <c r="F189" s="12" t="s">
        <v>1873</v>
      </c>
      <c r="G189" s="12" t="s">
        <v>1873</v>
      </c>
      <c r="H189" s="12" t="s">
        <v>1873</v>
      </c>
      <c r="I189" s="12" t="s">
        <v>1873</v>
      </c>
      <c r="J189" s="12" t="s">
        <v>1873</v>
      </c>
      <c r="K189" s="12" t="s">
        <v>1873</v>
      </c>
      <c r="L189" s="12" t="s">
        <v>1873</v>
      </c>
      <c r="M189" s="12" t="s">
        <v>1856</v>
      </c>
      <c r="N189" s="12" t="s">
        <v>1856</v>
      </c>
      <c r="O189" s="12" t="s">
        <v>1873</v>
      </c>
      <c r="P189" s="12" t="s">
        <v>1873</v>
      </c>
      <c r="Q189" s="12" t="s">
        <v>1856</v>
      </c>
      <c r="R189" s="12" t="s">
        <v>1873</v>
      </c>
      <c r="S189" s="12" t="s">
        <v>1856</v>
      </c>
      <c r="T189" s="12" t="s">
        <v>1856</v>
      </c>
      <c r="U189" s="12" t="s">
        <v>1856</v>
      </c>
      <c r="V189" s="12" t="s">
        <v>1873</v>
      </c>
      <c r="W189" s="12" t="s">
        <v>1873</v>
      </c>
      <c r="X189" s="12" t="s">
        <v>1873</v>
      </c>
      <c r="Y189" s="12" t="s">
        <v>1873</v>
      </c>
      <c r="AA189" s="12" t="s">
        <v>1873</v>
      </c>
      <c r="AB189" s="12" t="s">
        <v>1873</v>
      </c>
      <c r="AC189" s="12" t="s">
        <v>1873</v>
      </c>
      <c r="AD189" s="12" t="s">
        <v>1873</v>
      </c>
      <c r="AF189" s="12" t="s">
        <v>1856</v>
      </c>
      <c r="AG189" s="12" t="s">
        <v>1873</v>
      </c>
      <c r="AH189" s="12" t="s">
        <v>1873</v>
      </c>
      <c r="AJ189" s="12" t="s">
        <v>1873</v>
      </c>
      <c r="AK189" s="12" t="s">
        <v>1873</v>
      </c>
      <c r="AL189" s="12" t="s">
        <v>1873</v>
      </c>
      <c r="AM189" s="12" t="s">
        <v>1856</v>
      </c>
      <c r="AO189" s="12" t="s">
        <v>1856</v>
      </c>
      <c r="AP189" s="12" t="s">
        <v>1856</v>
      </c>
      <c r="AQ189" s="12" t="s">
        <v>1856</v>
      </c>
      <c r="CS189" s="12" t="s">
        <v>1873</v>
      </c>
      <c r="CT189" s="12" t="s">
        <v>1873</v>
      </c>
      <c r="CU189" s="12" t="s">
        <v>1873</v>
      </c>
      <c r="CV189" s="12" t="s">
        <v>1873</v>
      </c>
      <c r="DF189" s="12">
        <v>14</v>
      </c>
      <c r="DQ189" s="35">
        <v>186</v>
      </c>
      <c r="DR189" s="32">
        <v>113</v>
      </c>
      <c r="DS189" s="73">
        <v>138</v>
      </c>
      <c r="DT189" s="71">
        <v>25</v>
      </c>
      <c r="DU189" s="21">
        <v>251</v>
      </c>
      <c r="DV189" s="31">
        <f t="shared" si="154"/>
        <v>286</v>
      </c>
      <c r="DW189" s="30">
        <f t="shared" si="185"/>
        <v>618</v>
      </c>
      <c r="DX189" s="36">
        <v>25</v>
      </c>
      <c r="DY189" s="23">
        <v>183</v>
      </c>
      <c r="DZ189" s="12">
        <v>187</v>
      </c>
      <c r="EA189" s="12">
        <f t="shared" si="159"/>
        <v>691</v>
      </c>
      <c r="EB189" s="12">
        <f t="shared" si="160"/>
        <v>818</v>
      </c>
      <c r="EC189" s="12">
        <f t="shared" si="161"/>
        <v>808</v>
      </c>
      <c r="ED189" s="12">
        <f t="shared" si="162"/>
        <v>631</v>
      </c>
      <c r="EE189" s="12">
        <f t="shared" si="163"/>
        <v>464</v>
      </c>
      <c r="EF189" s="12">
        <f t="shared" si="164"/>
        <v>307</v>
      </c>
      <c r="EG189" s="12">
        <f t="shared" si="165"/>
        <v>297</v>
      </c>
      <c r="EH189" s="12">
        <f t="shared" si="166"/>
        <v>297</v>
      </c>
      <c r="EI189" s="12">
        <f t="shared" si="167"/>
        <v>287</v>
      </c>
      <c r="EJ189" s="12">
        <f t="shared" si="168"/>
        <v>277</v>
      </c>
      <c r="EK189" s="12">
        <f t="shared" si="169"/>
        <v>621</v>
      </c>
      <c r="EL189" s="12">
        <f t="shared" si="170"/>
        <v>297</v>
      </c>
      <c r="EM189" s="12">
        <f t="shared" si="171"/>
        <v>287</v>
      </c>
      <c r="EN189" s="12">
        <f t="shared" si="172"/>
        <v>444</v>
      </c>
      <c r="EO189" s="12">
        <f t="shared" si="173"/>
        <v>277</v>
      </c>
      <c r="EP189" s="12">
        <f t="shared" si="174"/>
        <v>267</v>
      </c>
      <c r="EQ189" s="12">
        <f t="shared" si="175"/>
        <v>257</v>
      </c>
      <c r="ER189" s="12">
        <f t="shared" si="176"/>
        <v>434</v>
      </c>
      <c r="ES189" s="12">
        <f t="shared" si="177"/>
        <v>414</v>
      </c>
      <c r="ET189" s="12">
        <f t="shared" si="178"/>
        <v>247</v>
      </c>
      <c r="EU189" s="12">
        <f t="shared" si="179"/>
        <v>404</v>
      </c>
      <c r="EV189" s="12">
        <f t="shared" si="180"/>
        <v>247</v>
      </c>
      <c r="EW189" s="12">
        <f t="shared" si="181"/>
        <v>227</v>
      </c>
      <c r="EX189" s="12">
        <f t="shared" si="182"/>
        <v>217</v>
      </c>
      <c r="EY189" s="12">
        <f t="shared" si="183"/>
        <v>197</v>
      </c>
      <c r="EZ189" s="12">
        <v>189</v>
      </c>
    </row>
    <row r="190" spans="1:156" ht="13.35" customHeight="1" thickBot="1" x14ac:dyDescent="0.25">
      <c r="A190" s="78">
        <v>44</v>
      </c>
      <c r="B190" s="78">
        <f t="shared" si="188"/>
        <v>77</v>
      </c>
      <c r="D190" s="12" t="s">
        <v>1865</v>
      </c>
      <c r="E190" s="12" t="s">
        <v>1889</v>
      </c>
      <c r="F190" s="12" t="s">
        <v>1856</v>
      </c>
      <c r="G190" s="12" t="s">
        <v>1856</v>
      </c>
      <c r="H190" s="12" t="s">
        <v>1856</v>
      </c>
      <c r="I190" s="12" t="s">
        <v>1856</v>
      </c>
      <c r="J190" s="12" t="s">
        <v>1856</v>
      </c>
      <c r="K190" s="12" t="s">
        <v>1856</v>
      </c>
      <c r="L190" s="12" t="s">
        <v>1856</v>
      </c>
      <c r="M190" s="12" t="s">
        <v>1857</v>
      </c>
      <c r="N190" s="12" t="s">
        <v>1857</v>
      </c>
      <c r="O190" s="12" t="s">
        <v>1856</v>
      </c>
      <c r="P190" s="12" t="s">
        <v>1856</v>
      </c>
      <c r="Q190" s="12" t="s">
        <v>1857</v>
      </c>
      <c r="R190" s="12" t="s">
        <v>1856</v>
      </c>
      <c r="S190" s="12" t="s">
        <v>1857</v>
      </c>
      <c r="T190" s="12" t="s">
        <v>1857</v>
      </c>
      <c r="U190" s="12" t="s">
        <v>1857</v>
      </c>
      <c r="V190" s="12" t="s">
        <v>1856</v>
      </c>
      <c r="W190" s="12" t="s">
        <v>1856</v>
      </c>
      <c r="X190" s="12" t="s">
        <v>1856</v>
      </c>
      <c r="Y190" s="12" t="s">
        <v>1856</v>
      </c>
      <c r="AA190" s="12" t="s">
        <v>1856</v>
      </c>
      <c r="AB190" s="12" t="s">
        <v>1856</v>
      </c>
      <c r="AC190" s="12" t="s">
        <v>1856</v>
      </c>
      <c r="AD190" s="12" t="s">
        <v>1856</v>
      </c>
      <c r="AF190" s="12" t="s">
        <v>1857</v>
      </c>
      <c r="AG190" s="12" t="s">
        <v>1856</v>
      </c>
      <c r="AH190" s="12" t="s">
        <v>1856</v>
      </c>
      <c r="AJ190" s="12" t="s">
        <v>1856</v>
      </c>
      <c r="AK190" s="12" t="s">
        <v>1856</v>
      </c>
      <c r="AL190" s="12" t="s">
        <v>1856</v>
      </c>
      <c r="AM190" s="12" t="s">
        <v>1857</v>
      </c>
      <c r="AO190" s="12" t="s">
        <v>1857</v>
      </c>
      <c r="AP190" s="12" t="s">
        <v>1857</v>
      </c>
      <c r="AQ190" s="12" t="s">
        <v>1857</v>
      </c>
      <c r="CS190" s="12" t="s">
        <v>1856</v>
      </c>
      <c r="CT190" s="12" t="s">
        <v>1856</v>
      </c>
      <c r="CU190" s="12" t="s">
        <v>1856</v>
      </c>
      <c r="CV190" s="12" t="s">
        <v>1856</v>
      </c>
      <c r="DF190" s="12">
        <v>15</v>
      </c>
      <c r="DQ190" s="35">
        <v>187</v>
      </c>
      <c r="DR190" s="32">
        <v>114</v>
      </c>
      <c r="DS190" s="73">
        <v>138.5</v>
      </c>
      <c r="DT190" s="71">
        <v>25</v>
      </c>
      <c r="DU190" s="21">
        <v>252</v>
      </c>
      <c r="DV190" s="31">
        <f t="shared" si="154"/>
        <v>287</v>
      </c>
      <c r="DW190" s="30">
        <f t="shared" si="185"/>
        <v>621</v>
      </c>
      <c r="DX190" s="36">
        <v>25</v>
      </c>
      <c r="DY190" s="23">
        <v>183.5</v>
      </c>
      <c r="DZ190" s="12">
        <v>188</v>
      </c>
      <c r="EA190" s="12">
        <f t="shared" si="159"/>
        <v>694</v>
      </c>
      <c r="EB190" s="12">
        <f t="shared" si="160"/>
        <v>822</v>
      </c>
      <c r="EC190" s="12">
        <f t="shared" si="161"/>
        <v>812</v>
      </c>
      <c r="ED190" s="12">
        <f t="shared" si="162"/>
        <v>634</v>
      </c>
      <c r="EE190" s="12">
        <f t="shared" si="163"/>
        <v>466</v>
      </c>
      <c r="EF190" s="12">
        <f t="shared" si="164"/>
        <v>308</v>
      </c>
      <c r="EG190" s="12">
        <f t="shared" si="165"/>
        <v>298</v>
      </c>
      <c r="EH190" s="12">
        <f t="shared" si="166"/>
        <v>298</v>
      </c>
      <c r="EI190" s="12">
        <f t="shared" si="167"/>
        <v>288</v>
      </c>
      <c r="EJ190" s="12">
        <f t="shared" si="168"/>
        <v>278</v>
      </c>
      <c r="EK190" s="12">
        <f t="shared" si="169"/>
        <v>624</v>
      </c>
      <c r="EL190" s="12">
        <f t="shared" si="170"/>
        <v>298</v>
      </c>
      <c r="EM190" s="12">
        <f t="shared" si="171"/>
        <v>288</v>
      </c>
      <c r="EN190" s="12">
        <f t="shared" si="172"/>
        <v>446</v>
      </c>
      <c r="EO190" s="12">
        <f t="shared" si="173"/>
        <v>278</v>
      </c>
      <c r="EP190" s="12">
        <f t="shared" si="174"/>
        <v>268</v>
      </c>
      <c r="EQ190" s="12">
        <f t="shared" si="175"/>
        <v>258</v>
      </c>
      <c r="ER190" s="12">
        <f t="shared" si="176"/>
        <v>436</v>
      </c>
      <c r="ES190" s="12">
        <f t="shared" si="177"/>
        <v>416</v>
      </c>
      <c r="ET190" s="12">
        <f t="shared" si="178"/>
        <v>248</v>
      </c>
      <c r="EU190" s="12">
        <f t="shared" si="179"/>
        <v>406</v>
      </c>
      <c r="EV190" s="12">
        <f t="shared" si="180"/>
        <v>248</v>
      </c>
      <c r="EW190" s="12">
        <f t="shared" si="181"/>
        <v>228</v>
      </c>
      <c r="EX190" s="12">
        <f t="shared" si="182"/>
        <v>218</v>
      </c>
      <c r="EY190" s="12">
        <f t="shared" si="183"/>
        <v>198</v>
      </c>
      <c r="EZ190" s="12">
        <v>190</v>
      </c>
    </row>
    <row r="191" spans="1:156" ht="13.35" customHeight="1" thickBot="1" x14ac:dyDescent="0.25">
      <c r="A191" s="12">
        <v>45</v>
      </c>
      <c r="B191" s="12">
        <f t="shared" ref="B191:B200" si="189">A191+28</f>
        <v>73</v>
      </c>
      <c r="D191" s="12" t="s">
        <v>1855</v>
      </c>
      <c r="E191" s="12" t="s">
        <v>1890</v>
      </c>
      <c r="F191" s="12" t="s">
        <v>1857</v>
      </c>
      <c r="G191" s="12" t="s">
        <v>1857</v>
      </c>
      <c r="H191" s="12" t="s">
        <v>1857</v>
      </c>
      <c r="I191" s="12" t="s">
        <v>1857</v>
      </c>
      <c r="J191" s="12" t="s">
        <v>1857</v>
      </c>
      <c r="K191" s="12" t="s">
        <v>1857</v>
      </c>
      <c r="L191" s="12" t="s">
        <v>1857</v>
      </c>
      <c r="M191" s="12" t="s">
        <v>1868</v>
      </c>
      <c r="N191" s="12" t="s">
        <v>1868</v>
      </c>
      <c r="O191" s="12" t="s">
        <v>1857</v>
      </c>
      <c r="P191" s="12" t="s">
        <v>1857</v>
      </c>
      <c r="Q191" s="12" t="s">
        <v>1868</v>
      </c>
      <c r="R191" s="12" t="s">
        <v>1857</v>
      </c>
      <c r="S191" s="12" t="s">
        <v>1868</v>
      </c>
      <c r="T191" s="12" t="s">
        <v>1868</v>
      </c>
      <c r="U191" s="12" t="s">
        <v>1868</v>
      </c>
      <c r="V191" s="12" t="s">
        <v>1857</v>
      </c>
      <c r="W191" s="12" t="s">
        <v>1857</v>
      </c>
      <c r="X191" s="12" t="s">
        <v>1857</v>
      </c>
      <c r="Y191" s="12" t="s">
        <v>1857</v>
      </c>
      <c r="AA191" s="12" t="s">
        <v>1857</v>
      </c>
      <c r="AB191" s="12" t="s">
        <v>1857</v>
      </c>
      <c r="AC191" s="12" t="s">
        <v>1857</v>
      </c>
      <c r="AD191" s="12" t="s">
        <v>1857</v>
      </c>
      <c r="AF191" s="12" t="s">
        <v>1868</v>
      </c>
      <c r="AG191" s="12" t="s">
        <v>1857</v>
      </c>
      <c r="AH191" s="12" t="s">
        <v>1857</v>
      </c>
      <c r="AJ191" s="12" t="s">
        <v>1857</v>
      </c>
      <c r="AK191" s="12" t="s">
        <v>1857</v>
      </c>
      <c r="AL191" s="12" t="s">
        <v>1857</v>
      </c>
      <c r="AM191" s="12" t="s">
        <v>1868</v>
      </c>
      <c r="AO191" s="12" t="s">
        <v>1868</v>
      </c>
      <c r="AP191" s="12" t="s">
        <v>1868</v>
      </c>
      <c r="AQ191" s="12" t="s">
        <v>1868</v>
      </c>
      <c r="CS191" s="12" t="s">
        <v>1857</v>
      </c>
      <c r="CT191" s="12" t="s">
        <v>1857</v>
      </c>
      <c r="CU191" s="12" t="s">
        <v>1857</v>
      </c>
      <c r="CV191" s="12" t="s">
        <v>1857</v>
      </c>
      <c r="DF191" s="12">
        <v>16</v>
      </c>
      <c r="DQ191" s="35">
        <v>188</v>
      </c>
      <c r="DR191" s="32">
        <v>114</v>
      </c>
      <c r="DS191" s="73">
        <v>139</v>
      </c>
      <c r="DT191" s="71">
        <v>25</v>
      </c>
      <c r="DU191" s="21">
        <v>253</v>
      </c>
      <c r="DV191" s="31">
        <f t="shared" si="154"/>
        <v>288</v>
      </c>
      <c r="DW191" s="30">
        <f t="shared" si="185"/>
        <v>624</v>
      </c>
      <c r="DX191" s="36">
        <v>25</v>
      </c>
      <c r="DY191" s="23">
        <v>184</v>
      </c>
      <c r="DZ191" s="12">
        <v>189</v>
      </c>
      <c r="EA191" s="12">
        <f t="shared" si="159"/>
        <v>697</v>
      </c>
      <c r="EB191" s="12">
        <f t="shared" si="160"/>
        <v>826</v>
      </c>
      <c r="EC191" s="12">
        <f t="shared" si="161"/>
        <v>816</v>
      </c>
      <c r="ED191" s="12">
        <f t="shared" si="162"/>
        <v>637</v>
      </c>
      <c r="EE191" s="12">
        <f t="shared" si="163"/>
        <v>468</v>
      </c>
      <c r="EF191" s="12">
        <f t="shared" si="164"/>
        <v>309</v>
      </c>
      <c r="EG191" s="12">
        <f t="shared" si="165"/>
        <v>299</v>
      </c>
      <c r="EH191" s="12">
        <f t="shared" si="166"/>
        <v>299</v>
      </c>
      <c r="EI191" s="12">
        <f t="shared" si="167"/>
        <v>289</v>
      </c>
      <c r="EJ191" s="12">
        <f t="shared" si="168"/>
        <v>279</v>
      </c>
      <c r="EK191" s="12">
        <f t="shared" si="169"/>
        <v>627</v>
      </c>
      <c r="EL191" s="12">
        <f t="shared" si="170"/>
        <v>299</v>
      </c>
      <c r="EM191" s="12">
        <f t="shared" si="171"/>
        <v>289</v>
      </c>
      <c r="EN191" s="12">
        <f t="shared" si="172"/>
        <v>448</v>
      </c>
      <c r="EO191" s="12">
        <f t="shared" si="173"/>
        <v>279</v>
      </c>
      <c r="EP191" s="12">
        <f t="shared" si="174"/>
        <v>269</v>
      </c>
      <c r="EQ191" s="12">
        <f t="shared" si="175"/>
        <v>259</v>
      </c>
      <c r="ER191" s="12">
        <f t="shared" si="176"/>
        <v>438</v>
      </c>
      <c r="ES191" s="12">
        <f t="shared" si="177"/>
        <v>418</v>
      </c>
      <c r="ET191" s="12">
        <f t="shared" si="178"/>
        <v>249</v>
      </c>
      <c r="EU191" s="12">
        <f t="shared" si="179"/>
        <v>408</v>
      </c>
      <c r="EV191" s="12">
        <f t="shared" si="180"/>
        <v>249</v>
      </c>
      <c r="EW191" s="12">
        <f t="shared" si="181"/>
        <v>229</v>
      </c>
      <c r="EX191" s="12">
        <f t="shared" si="182"/>
        <v>219</v>
      </c>
      <c r="EY191" s="12">
        <f t="shared" si="183"/>
        <v>199</v>
      </c>
      <c r="EZ191" s="12">
        <v>191</v>
      </c>
    </row>
    <row r="192" spans="1:156" ht="13.35" customHeight="1" thickBot="1" x14ac:dyDescent="0.25">
      <c r="A192" s="12">
        <v>46</v>
      </c>
      <c r="B192" s="12">
        <f t="shared" si="189"/>
        <v>74</v>
      </c>
      <c r="D192" s="12" t="s">
        <v>1861</v>
      </c>
      <c r="E192" s="12" t="s">
        <v>1891</v>
      </c>
      <c r="F192" s="12" t="s">
        <v>1868</v>
      </c>
      <c r="G192" s="12" t="s">
        <v>1868</v>
      </c>
      <c r="H192" s="12" t="s">
        <v>1868</v>
      </c>
      <c r="I192" s="12" t="s">
        <v>1868</v>
      </c>
      <c r="J192" s="12" t="s">
        <v>1868</v>
      </c>
      <c r="K192" s="12" t="s">
        <v>1868</v>
      </c>
      <c r="L192" s="12" t="s">
        <v>1868</v>
      </c>
      <c r="M192" s="12" t="s">
        <v>1859</v>
      </c>
      <c r="N192" s="12" t="s">
        <v>1859</v>
      </c>
      <c r="O192" s="12" t="s">
        <v>1868</v>
      </c>
      <c r="P192" s="12" t="s">
        <v>1868</v>
      </c>
      <c r="Q192" s="12" t="s">
        <v>1859</v>
      </c>
      <c r="R192" s="12" t="s">
        <v>1868</v>
      </c>
      <c r="S192" s="12" t="s">
        <v>1859</v>
      </c>
      <c r="T192" s="12" t="s">
        <v>1859</v>
      </c>
      <c r="U192" s="12" t="s">
        <v>1859</v>
      </c>
      <c r="V192" s="12" t="s">
        <v>1868</v>
      </c>
      <c r="W192" s="12" t="s">
        <v>1868</v>
      </c>
      <c r="X192" s="12" t="s">
        <v>1868</v>
      </c>
      <c r="Y192" s="12" t="s">
        <v>1868</v>
      </c>
      <c r="AA192" s="12" t="s">
        <v>1868</v>
      </c>
      <c r="AB192" s="12" t="s">
        <v>1868</v>
      </c>
      <c r="AC192" s="12" t="s">
        <v>1868</v>
      </c>
      <c r="AD192" s="12" t="s">
        <v>1868</v>
      </c>
      <c r="AF192" s="12" t="s">
        <v>1859</v>
      </c>
      <c r="AG192" s="12" t="s">
        <v>1868</v>
      </c>
      <c r="AH192" s="12" t="s">
        <v>1868</v>
      </c>
      <c r="AJ192" s="12" t="s">
        <v>1868</v>
      </c>
      <c r="AK192" s="12" t="s">
        <v>1868</v>
      </c>
      <c r="AL192" s="12" t="s">
        <v>1868</v>
      </c>
      <c r="AM192" s="12" t="s">
        <v>1859</v>
      </c>
      <c r="AO192" s="12" t="s">
        <v>1859</v>
      </c>
      <c r="AP192" s="12" t="s">
        <v>1859</v>
      </c>
      <c r="AQ192" s="12" t="s">
        <v>1859</v>
      </c>
      <c r="CS192" s="12" t="s">
        <v>1868</v>
      </c>
      <c r="CT192" s="12" t="s">
        <v>1868</v>
      </c>
      <c r="CU192" s="12" t="s">
        <v>1868</v>
      </c>
      <c r="CV192" s="12" t="s">
        <v>1868</v>
      </c>
      <c r="DF192" s="12">
        <v>17</v>
      </c>
      <c r="DQ192" s="35">
        <v>189</v>
      </c>
      <c r="DR192" s="32">
        <v>115</v>
      </c>
      <c r="DS192" s="73">
        <v>139.5</v>
      </c>
      <c r="DT192" s="71">
        <v>25</v>
      </c>
      <c r="DU192" s="21">
        <v>254</v>
      </c>
      <c r="DV192" s="31">
        <f t="shared" si="154"/>
        <v>289</v>
      </c>
      <c r="DW192" s="30">
        <f t="shared" si="185"/>
        <v>627</v>
      </c>
      <c r="DX192" s="36">
        <v>25</v>
      </c>
      <c r="DY192" s="23">
        <v>184.5</v>
      </c>
      <c r="DZ192" s="12">
        <v>190</v>
      </c>
      <c r="EA192" s="12">
        <f t="shared" si="159"/>
        <v>700</v>
      </c>
      <c r="EB192" s="12">
        <f t="shared" si="160"/>
        <v>830</v>
      </c>
      <c r="EC192" s="12">
        <f t="shared" si="161"/>
        <v>820</v>
      </c>
      <c r="ED192" s="12">
        <f t="shared" si="162"/>
        <v>640</v>
      </c>
      <c r="EE192" s="12">
        <f t="shared" si="163"/>
        <v>470</v>
      </c>
      <c r="EF192" s="12">
        <f t="shared" si="164"/>
        <v>310</v>
      </c>
      <c r="EG192" s="12">
        <f t="shared" si="165"/>
        <v>300</v>
      </c>
      <c r="EH192" s="12">
        <f t="shared" si="166"/>
        <v>300</v>
      </c>
      <c r="EI192" s="12">
        <f t="shared" si="167"/>
        <v>290</v>
      </c>
      <c r="EJ192" s="12">
        <f t="shared" si="168"/>
        <v>280</v>
      </c>
      <c r="EK192" s="12">
        <f t="shared" si="169"/>
        <v>630</v>
      </c>
      <c r="EL192" s="12">
        <f t="shared" si="170"/>
        <v>300</v>
      </c>
      <c r="EM192" s="12">
        <f t="shared" si="171"/>
        <v>290</v>
      </c>
      <c r="EN192" s="12">
        <f t="shared" si="172"/>
        <v>450</v>
      </c>
      <c r="EO192" s="12">
        <f t="shared" si="173"/>
        <v>280</v>
      </c>
      <c r="EP192" s="12">
        <f t="shared" si="174"/>
        <v>270</v>
      </c>
      <c r="EQ192" s="12">
        <f t="shared" si="175"/>
        <v>260</v>
      </c>
      <c r="ER192" s="12">
        <f t="shared" si="176"/>
        <v>440</v>
      </c>
      <c r="ES192" s="12">
        <f t="shared" si="177"/>
        <v>420</v>
      </c>
      <c r="ET192" s="12">
        <f t="shared" si="178"/>
        <v>250</v>
      </c>
      <c r="EU192" s="12">
        <f t="shared" si="179"/>
        <v>410</v>
      </c>
      <c r="EV192" s="12">
        <f t="shared" si="180"/>
        <v>250</v>
      </c>
      <c r="EW192" s="12">
        <f t="shared" si="181"/>
        <v>230</v>
      </c>
      <c r="EX192" s="12">
        <f t="shared" si="182"/>
        <v>220</v>
      </c>
      <c r="EY192" s="12">
        <f t="shared" si="183"/>
        <v>200</v>
      </c>
      <c r="EZ192" s="12">
        <v>192</v>
      </c>
    </row>
    <row r="193" spans="1:156" ht="13.35" customHeight="1" thickBot="1" x14ac:dyDescent="0.25">
      <c r="A193" s="12">
        <v>47</v>
      </c>
      <c r="B193" s="12">
        <f t="shared" si="189"/>
        <v>75</v>
      </c>
      <c r="D193" s="12" t="s">
        <v>1853</v>
      </c>
      <c r="E193" s="12" t="s">
        <v>341</v>
      </c>
      <c r="F193" s="12" t="s">
        <v>1859</v>
      </c>
      <c r="G193" s="12" t="s">
        <v>1859</v>
      </c>
      <c r="H193" s="12" t="s">
        <v>1859</v>
      </c>
      <c r="I193" s="12" t="s">
        <v>1859</v>
      </c>
      <c r="J193" s="12" t="s">
        <v>1859</v>
      </c>
      <c r="K193" s="12" t="s">
        <v>1859</v>
      </c>
      <c r="L193" s="12" t="s">
        <v>1859</v>
      </c>
      <c r="M193" s="12" t="s">
        <v>1871</v>
      </c>
      <c r="N193" s="12" t="s">
        <v>1871</v>
      </c>
      <c r="O193" s="12" t="s">
        <v>1859</v>
      </c>
      <c r="P193" s="12" t="s">
        <v>1859</v>
      </c>
      <c r="Q193" s="12" t="s">
        <v>1871</v>
      </c>
      <c r="R193" s="12" t="s">
        <v>1859</v>
      </c>
      <c r="S193" s="12" t="s">
        <v>1871</v>
      </c>
      <c r="T193" s="12" t="s">
        <v>1871</v>
      </c>
      <c r="U193" s="12" t="s">
        <v>1871</v>
      </c>
      <c r="V193" s="12" t="s">
        <v>1859</v>
      </c>
      <c r="W193" s="12" t="s">
        <v>1859</v>
      </c>
      <c r="X193" s="12" t="s">
        <v>1859</v>
      </c>
      <c r="Y193" s="12" t="s">
        <v>1859</v>
      </c>
      <c r="AA193" s="12" t="s">
        <v>1859</v>
      </c>
      <c r="AB193" s="12" t="s">
        <v>1859</v>
      </c>
      <c r="AC193" s="12" t="s">
        <v>1859</v>
      </c>
      <c r="AD193" s="12" t="s">
        <v>1859</v>
      </c>
      <c r="AF193" s="12" t="s">
        <v>1871</v>
      </c>
      <c r="AG193" s="12" t="s">
        <v>1859</v>
      </c>
      <c r="AH193" s="12" t="s">
        <v>1859</v>
      </c>
      <c r="AJ193" s="12" t="s">
        <v>1859</v>
      </c>
      <c r="AK193" s="12" t="s">
        <v>1859</v>
      </c>
      <c r="AL193" s="12" t="s">
        <v>1859</v>
      </c>
      <c r="AM193" s="12" t="s">
        <v>1871</v>
      </c>
      <c r="AO193" s="12" t="s">
        <v>1871</v>
      </c>
      <c r="AP193" s="12" t="s">
        <v>1871</v>
      </c>
      <c r="AQ193" s="12" t="s">
        <v>1871</v>
      </c>
      <c r="CS193" s="12" t="s">
        <v>1859</v>
      </c>
      <c r="CT193" s="12" t="s">
        <v>1859</v>
      </c>
      <c r="CU193" s="12" t="s">
        <v>1859</v>
      </c>
      <c r="CV193" s="12" t="s">
        <v>1859</v>
      </c>
      <c r="DF193" s="12">
        <v>18</v>
      </c>
      <c r="DQ193" s="35">
        <v>190</v>
      </c>
      <c r="DR193" s="32">
        <v>115</v>
      </c>
      <c r="DS193" s="73">
        <v>140</v>
      </c>
      <c r="DT193" s="71">
        <v>25</v>
      </c>
      <c r="DU193" s="21">
        <v>255</v>
      </c>
      <c r="DV193" s="31">
        <f t="shared" si="154"/>
        <v>290</v>
      </c>
      <c r="DW193" s="30">
        <f t="shared" si="185"/>
        <v>630</v>
      </c>
      <c r="DX193" s="36">
        <v>25</v>
      </c>
      <c r="DY193" s="23">
        <v>185</v>
      </c>
      <c r="DZ193" s="12">
        <v>191</v>
      </c>
      <c r="EA193" s="12">
        <f t="shared" si="159"/>
        <v>703</v>
      </c>
      <c r="EB193" s="12">
        <f t="shared" si="160"/>
        <v>834</v>
      </c>
      <c r="EC193" s="12">
        <f t="shared" si="161"/>
        <v>824</v>
      </c>
      <c r="ED193" s="12">
        <f t="shared" si="162"/>
        <v>643</v>
      </c>
      <c r="EE193" s="12">
        <f t="shared" si="163"/>
        <v>472</v>
      </c>
      <c r="EF193" s="12">
        <f t="shared" si="164"/>
        <v>311</v>
      </c>
      <c r="EG193" s="12">
        <f t="shared" si="165"/>
        <v>301</v>
      </c>
      <c r="EH193" s="12">
        <f t="shared" si="166"/>
        <v>301</v>
      </c>
      <c r="EI193" s="12">
        <f t="shared" si="167"/>
        <v>291</v>
      </c>
      <c r="EJ193" s="12">
        <f t="shared" si="168"/>
        <v>281</v>
      </c>
      <c r="EK193" s="12">
        <f t="shared" si="169"/>
        <v>633</v>
      </c>
      <c r="EL193" s="12">
        <f t="shared" si="170"/>
        <v>301</v>
      </c>
      <c r="EM193" s="12">
        <f t="shared" si="171"/>
        <v>291</v>
      </c>
      <c r="EN193" s="12">
        <f t="shared" si="172"/>
        <v>452</v>
      </c>
      <c r="EO193" s="12">
        <f t="shared" si="173"/>
        <v>281</v>
      </c>
      <c r="EP193" s="12">
        <f t="shared" si="174"/>
        <v>271</v>
      </c>
      <c r="EQ193" s="12">
        <f t="shared" si="175"/>
        <v>261</v>
      </c>
      <c r="ER193" s="12">
        <f t="shared" si="176"/>
        <v>442</v>
      </c>
      <c r="ES193" s="12">
        <f t="shared" si="177"/>
        <v>422</v>
      </c>
      <c r="ET193" s="12">
        <f t="shared" si="178"/>
        <v>251</v>
      </c>
      <c r="EU193" s="12">
        <f t="shared" si="179"/>
        <v>412</v>
      </c>
      <c r="EV193" s="12">
        <f t="shared" si="180"/>
        <v>251</v>
      </c>
      <c r="EW193" s="12">
        <f t="shared" si="181"/>
        <v>231</v>
      </c>
      <c r="EX193" s="12">
        <f t="shared" si="182"/>
        <v>221</v>
      </c>
      <c r="EY193" s="12">
        <f t="shared" si="183"/>
        <v>201</v>
      </c>
      <c r="EZ193" s="12">
        <v>193</v>
      </c>
    </row>
    <row r="194" spans="1:156" ht="13.35" customHeight="1" thickBot="1" x14ac:dyDescent="0.25">
      <c r="A194" s="12">
        <v>48</v>
      </c>
      <c r="B194" s="12">
        <f t="shared" si="189"/>
        <v>76</v>
      </c>
      <c r="D194" s="12" t="s">
        <v>1864</v>
      </c>
      <c r="E194" s="12" t="s">
        <v>1893</v>
      </c>
      <c r="F194" s="12" t="s">
        <v>1871</v>
      </c>
      <c r="G194" s="12" t="s">
        <v>1871</v>
      </c>
      <c r="H194" s="12" t="s">
        <v>1871</v>
      </c>
      <c r="I194" s="12" t="s">
        <v>1871</v>
      </c>
      <c r="J194" s="12" t="s">
        <v>1871</v>
      </c>
      <c r="K194" s="12" t="s">
        <v>1871</v>
      </c>
      <c r="L194" s="12" t="s">
        <v>1871</v>
      </c>
      <c r="M194" s="12" t="s">
        <v>1855</v>
      </c>
      <c r="N194" s="12" t="s">
        <v>1855</v>
      </c>
      <c r="O194" s="12" t="s">
        <v>1871</v>
      </c>
      <c r="P194" s="12" t="s">
        <v>1871</v>
      </c>
      <c r="Q194" s="12" t="s">
        <v>1855</v>
      </c>
      <c r="R194" s="12" t="s">
        <v>1871</v>
      </c>
      <c r="S194" s="12" t="s">
        <v>1855</v>
      </c>
      <c r="T194" s="12" t="s">
        <v>1855</v>
      </c>
      <c r="U194" s="12" t="s">
        <v>1855</v>
      </c>
      <c r="V194" s="12" t="s">
        <v>1871</v>
      </c>
      <c r="W194" s="12" t="s">
        <v>1871</v>
      </c>
      <c r="X194" s="12" t="s">
        <v>1871</v>
      </c>
      <c r="Y194" s="12" t="s">
        <v>1871</v>
      </c>
      <c r="AA194" s="12" t="s">
        <v>1871</v>
      </c>
      <c r="AB194" s="12" t="s">
        <v>1871</v>
      </c>
      <c r="AC194" s="12" t="s">
        <v>1871</v>
      </c>
      <c r="AD194" s="12" t="s">
        <v>1871</v>
      </c>
      <c r="AF194" s="12" t="s">
        <v>1855</v>
      </c>
      <c r="AG194" s="12" t="s">
        <v>1871</v>
      </c>
      <c r="AH194" s="12" t="s">
        <v>1871</v>
      </c>
      <c r="AJ194" s="12" t="s">
        <v>1871</v>
      </c>
      <c r="AK194" s="12" t="s">
        <v>1871</v>
      </c>
      <c r="AL194" s="12" t="s">
        <v>1871</v>
      </c>
      <c r="AM194" s="12" t="s">
        <v>1855</v>
      </c>
      <c r="AO194" s="12" t="s">
        <v>1855</v>
      </c>
      <c r="AP194" s="12" t="s">
        <v>1855</v>
      </c>
      <c r="AQ194" s="12" t="s">
        <v>1855</v>
      </c>
      <c r="CS194" s="12" t="s">
        <v>1871</v>
      </c>
      <c r="CT194" s="12" t="s">
        <v>1871</v>
      </c>
      <c r="CU194" s="12" t="s">
        <v>1871</v>
      </c>
      <c r="CV194" s="12" t="s">
        <v>1871</v>
      </c>
      <c r="DF194" s="12">
        <v>19</v>
      </c>
      <c r="DQ194" s="35">
        <v>191</v>
      </c>
      <c r="DR194" s="32">
        <v>116</v>
      </c>
      <c r="DS194" s="73">
        <v>140.5</v>
      </c>
      <c r="DT194" s="71">
        <v>25</v>
      </c>
      <c r="DU194" s="21">
        <v>256</v>
      </c>
      <c r="DV194" s="31">
        <f t="shared" si="154"/>
        <v>291</v>
      </c>
      <c r="DW194" s="30">
        <f t="shared" si="185"/>
        <v>633</v>
      </c>
      <c r="DX194" s="36">
        <v>25</v>
      </c>
      <c r="DY194" s="23">
        <v>185.5</v>
      </c>
      <c r="DZ194" s="12">
        <v>192</v>
      </c>
      <c r="EA194" s="12">
        <f t="shared" si="159"/>
        <v>706</v>
      </c>
      <c r="EB194" s="12">
        <f t="shared" si="160"/>
        <v>838</v>
      </c>
      <c r="EC194" s="12">
        <f t="shared" si="161"/>
        <v>828</v>
      </c>
      <c r="ED194" s="12">
        <f t="shared" si="162"/>
        <v>646</v>
      </c>
      <c r="EE194" s="12">
        <f t="shared" si="163"/>
        <v>474</v>
      </c>
      <c r="EF194" s="12">
        <f t="shared" si="164"/>
        <v>312</v>
      </c>
      <c r="EG194" s="12">
        <f t="shared" si="165"/>
        <v>302</v>
      </c>
      <c r="EH194" s="12">
        <f t="shared" si="166"/>
        <v>302</v>
      </c>
      <c r="EI194" s="12">
        <f t="shared" si="167"/>
        <v>292</v>
      </c>
      <c r="EJ194" s="12">
        <f t="shared" si="168"/>
        <v>282</v>
      </c>
      <c r="EK194" s="12">
        <f t="shared" si="169"/>
        <v>636</v>
      </c>
      <c r="EL194" s="12">
        <f t="shared" si="170"/>
        <v>302</v>
      </c>
      <c r="EM194" s="12">
        <f t="shared" si="171"/>
        <v>292</v>
      </c>
      <c r="EN194" s="12">
        <f t="shared" si="172"/>
        <v>454</v>
      </c>
      <c r="EO194" s="12">
        <f t="shared" si="173"/>
        <v>282</v>
      </c>
      <c r="EP194" s="12">
        <f t="shared" si="174"/>
        <v>272</v>
      </c>
      <c r="EQ194" s="12">
        <f t="shared" si="175"/>
        <v>262</v>
      </c>
      <c r="ER194" s="12">
        <f t="shared" si="176"/>
        <v>444</v>
      </c>
      <c r="ES194" s="12">
        <f t="shared" si="177"/>
        <v>424</v>
      </c>
      <c r="ET194" s="12">
        <f t="shared" si="178"/>
        <v>252</v>
      </c>
      <c r="EU194" s="12">
        <f t="shared" si="179"/>
        <v>414</v>
      </c>
      <c r="EV194" s="12">
        <f t="shared" si="180"/>
        <v>252</v>
      </c>
      <c r="EW194" s="12">
        <f t="shared" si="181"/>
        <v>232</v>
      </c>
      <c r="EX194" s="12">
        <f t="shared" si="182"/>
        <v>222</v>
      </c>
      <c r="EY194" s="12">
        <f t="shared" si="183"/>
        <v>202</v>
      </c>
      <c r="EZ194" s="12">
        <v>194</v>
      </c>
    </row>
    <row r="195" spans="1:156" ht="13.35" customHeight="1" thickBot="1" x14ac:dyDescent="0.25">
      <c r="A195" s="12">
        <v>49</v>
      </c>
      <c r="B195" s="12">
        <f t="shared" si="189"/>
        <v>77</v>
      </c>
      <c r="D195" s="12" t="s">
        <v>1869</v>
      </c>
      <c r="E195" s="12" t="s">
        <v>1903</v>
      </c>
      <c r="F195" s="12" t="s">
        <v>1855</v>
      </c>
      <c r="G195" s="12" t="s">
        <v>1855</v>
      </c>
      <c r="H195" s="12" t="s">
        <v>1855</v>
      </c>
      <c r="I195" s="12" t="s">
        <v>1855</v>
      </c>
      <c r="J195" s="12" t="s">
        <v>1855</v>
      </c>
      <c r="K195" s="12" t="s">
        <v>1855</v>
      </c>
      <c r="L195" s="12" t="s">
        <v>1855</v>
      </c>
      <c r="M195" s="12" t="s">
        <v>1858</v>
      </c>
      <c r="N195" s="12" t="s">
        <v>1858</v>
      </c>
      <c r="O195" s="12" t="s">
        <v>1855</v>
      </c>
      <c r="P195" s="12" t="s">
        <v>1855</v>
      </c>
      <c r="Q195" s="12" t="s">
        <v>1858</v>
      </c>
      <c r="R195" s="12" t="s">
        <v>1855</v>
      </c>
      <c r="S195" s="12" t="s">
        <v>1858</v>
      </c>
      <c r="T195" s="12" t="s">
        <v>1858</v>
      </c>
      <c r="U195" s="12" t="s">
        <v>1858</v>
      </c>
      <c r="V195" s="12" t="s">
        <v>1855</v>
      </c>
      <c r="W195" s="12" t="s">
        <v>1855</v>
      </c>
      <c r="X195" s="12" t="s">
        <v>1855</v>
      </c>
      <c r="Y195" s="12" t="s">
        <v>1855</v>
      </c>
      <c r="AA195" s="12" t="s">
        <v>1855</v>
      </c>
      <c r="AB195" s="12" t="s">
        <v>1855</v>
      </c>
      <c r="AC195" s="12" t="s">
        <v>1855</v>
      </c>
      <c r="AD195" s="12" t="s">
        <v>1855</v>
      </c>
      <c r="AF195" s="12" t="s">
        <v>1858</v>
      </c>
      <c r="AG195" s="12" t="s">
        <v>1855</v>
      </c>
      <c r="AH195" s="12" t="s">
        <v>1855</v>
      </c>
      <c r="AJ195" s="12" t="s">
        <v>1855</v>
      </c>
      <c r="AK195" s="12" t="s">
        <v>1855</v>
      </c>
      <c r="AL195" s="12" t="s">
        <v>1855</v>
      </c>
      <c r="AM195" s="12" t="s">
        <v>1858</v>
      </c>
      <c r="AO195" s="12" t="s">
        <v>1858</v>
      </c>
      <c r="AP195" s="12" t="s">
        <v>1858</v>
      </c>
      <c r="AQ195" s="12" t="s">
        <v>1858</v>
      </c>
      <c r="CS195" s="12" t="s">
        <v>1855</v>
      </c>
      <c r="CT195" s="12" t="s">
        <v>1855</v>
      </c>
      <c r="CU195" s="12" t="s">
        <v>1855</v>
      </c>
      <c r="CV195" s="12" t="s">
        <v>1855</v>
      </c>
      <c r="DF195" s="12">
        <v>20</v>
      </c>
      <c r="DQ195" s="35">
        <v>192</v>
      </c>
      <c r="DR195" s="32">
        <v>116</v>
      </c>
      <c r="DS195" s="73">
        <v>141</v>
      </c>
      <c r="DT195" s="71">
        <v>25</v>
      </c>
      <c r="DU195" s="21">
        <v>257</v>
      </c>
      <c r="DV195" s="31">
        <f t="shared" ref="DV195:DV203" si="190">HLOOKUP($B$154,$DZ$1:$EZ$202,$EZ194,0)</f>
        <v>292</v>
      </c>
      <c r="DW195" s="30">
        <f t="shared" si="185"/>
        <v>636</v>
      </c>
      <c r="DX195" s="36">
        <v>25</v>
      </c>
      <c r="DY195" s="23">
        <v>186</v>
      </c>
      <c r="DZ195" s="12">
        <v>193</v>
      </c>
      <c r="EA195" s="12">
        <f t="shared" si="159"/>
        <v>709</v>
      </c>
      <c r="EB195" s="12">
        <f t="shared" si="160"/>
        <v>842</v>
      </c>
      <c r="EC195" s="12">
        <f t="shared" si="161"/>
        <v>832</v>
      </c>
      <c r="ED195" s="12">
        <f t="shared" si="162"/>
        <v>649</v>
      </c>
      <c r="EE195" s="12">
        <f t="shared" si="163"/>
        <v>476</v>
      </c>
      <c r="EF195" s="12">
        <f t="shared" si="164"/>
        <v>313</v>
      </c>
      <c r="EG195" s="12">
        <f t="shared" si="165"/>
        <v>303</v>
      </c>
      <c r="EH195" s="12">
        <f t="shared" si="166"/>
        <v>303</v>
      </c>
      <c r="EI195" s="12">
        <f t="shared" si="167"/>
        <v>293</v>
      </c>
      <c r="EJ195" s="12">
        <f t="shared" si="168"/>
        <v>283</v>
      </c>
      <c r="EK195" s="12">
        <f t="shared" si="169"/>
        <v>639</v>
      </c>
      <c r="EL195" s="12">
        <f t="shared" si="170"/>
        <v>303</v>
      </c>
      <c r="EM195" s="12">
        <f t="shared" si="171"/>
        <v>293</v>
      </c>
      <c r="EN195" s="12">
        <f t="shared" si="172"/>
        <v>456</v>
      </c>
      <c r="EO195" s="12">
        <f t="shared" si="173"/>
        <v>283</v>
      </c>
      <c r="EP195" s="12">
        <f t="shared" si="174"/>
        <v>273</v>
      </c>
      <c r="EQ195" s="12">
        <f t="shared" si="175"/>
        <v>263</v>
      </c>
      <c r="ER195" s="12">
        <f t="shared" si="176"/>
        <v>446</v>
      </c>
      <c r="ES195" s="12">
        <f t="shared" si="177"/>
        <v>426</v>
      </c>
      <c r="ET195" s="12">
        <f t="shared" si="178"/>
        <v>253</v>
      </c>
      <c r="EU195" s="12">
        <f t="shared" si="179"/>
        <v>416</v>
      </c>
      <c r="EV195" s="12">
        <f t="shared" si="180"/>
        <v>253</v>
      </c>
      <c r="EW195" s="12">
        <f t="shared" si="181"/>
        <v>233</v>
      </c>
      <c r="EX195" s="12">
        <f t="shared" si="182"/>
        <v>223</v>
      </c>
      <c r="EY195" s="12">
        <f t="shared" si="183"/>
        <v>203</v>
      </c>
      <c r="EZ195" s="12">
        <v>195</v>
      </c>
    </row>
    <row r="196" spans="1:156" ht="13.35" customHeight="1" thickBot="1" x14ac:dyDescent="0.25">
      <c r="A196" s="12">
        <v>50</v>
      </c>
      <c r="B196" s="12">
        <f t="shared" si="189"/>
        <v>78</v>
      </c>
      <c r="D196" s="12" t="s">
        <v>1872</v>
      </c>
      <c r="E196" s="12" t="s">
        <v>1906</v>
      </c>
      <c r="F196" s="12" t="s">
        <v>1858</v>
      </c>
      <c r="G196" s="12" t="s">
        <v>1858</v>
      </c>
      <c r="H196" s="12" t="s">
        <v>1858</v>
      </c>
      <c r="I196" s="12" t="s">
        <v>1858</v>
      </c>
      <c r="J196" s="12" t="s">
        <v>1858</v>
      </c>
      <c r="K196" s="12" t="s">
        <v>1858</v>
      </c>
      <c r="L196" s="12" t="s">
        <v>1858</v>
      </c>
      <c r="M196" s="12" t="s">
        <v>1866</v>
      </c>
      <c r="N196" s="12" t="s">
        <v>1866</v>
      </c>
      <c r="O196" s="12" t="s">
        <v>1858</v>
      </c>
      <c r="P196" s="12" t="s">
        <v>1858</v>
      </c>
      <c r="Q196" s="12" t="s">
        <v>1866</v>
      </c>
      <c r="R196" s="12" t="s">
        <v>1858</v>
      </c>
      <c r="S196" s="12" t="s">
        <v>1866</v>
      </c>
      <c r="T196" s="12" t="s">
        <v>1866</v>
      </c>
      <c r="U196" s="12" t="s">
        <v>1866</v>
      </c>
      <c r="V196" s="12" t="s">
        <v>1858</v>
      </c>
      <c r="W196" s="12" t="s">
        <v>1858</v>
      </c>
      <c r="X196" s="12" t="s">
        <v>1858</v>
      </c>
      <c r="Y196" s="12" t="s">
        <v>1858</v>
      </c>
      <c r="AA196" s="12" t="s">
        <v>1858</v>
      </c>
      <c r="AB196" s="12" t="s">
        <v>1858</v>
      </c>
      <c r="AC196" s="12" t="s">
        <v>1858</v>
      </c>
      <c r="AD196" s="12" t="s">
        <v>1858</v>
      </c>
      <c r="AF196" s="12" t="s">
        <v>1866</v>
      </c>
      <c r="AG196" s="12" t="s">
        <v>1858</v>
      </c>
      <c r="AH196" s="12" t="s">
        <v>1858</v>
      </c>
      <c r="AJ196" s="12" t="s">
        <v>1858</v>
      </c>
      <c r="AK196" s="12" t="s">
        <v>1858</v>
      </c>
      <c r="AL196" s="12" t="s">
        <v>1858</v>
      </c>
      <c r="AM196" s="12" t="s">
        <v>1866</v>
      </c>
      <c r="AO196" s="12" t="s">
        <v>1866</v>
      </c>
      <c r="AP196" s="12" t="s">
        <v>1866</v>
      </c>
      <c r="AQ196" s="12" t="s">
        <v>1866</v>
      </c>
      <c r="CS196" s="12" t="s">
        <v>1858</v>
      </c>
      <c r="CT196" s="12" t="s">
        <v>1858</v>
      </c>
      <c r="CU196" s="12" t="s">
        <v>1858</v>
      </c>
      <c r="CV196" s="12" t="s">
        <v>1858</v>
      </c>
      <c r="DF196" s="12">
        <v>21</v>
      </c>
      <c r="DQ196" s="35">
        <v>193</v>
      </c>
      <c r="DR196" s="32">
        <v>117</v>
      </c>
      <c r="DS196" s="73">
        <v>141.5</v>
      </c>
      <c r="DT196" s="71">
        <v>25</v>
      </c>
      <c r="DU196" s="21">
        <v>258</v>
      </c>
      <c r="DV196" s="31">
        <f t="shared" si="190"/>
        <v>293</v>
      </c>
      <c r="DW196" s="30">
        <f t="shared" ref="DW196:DW203" si="191">HLOOKUP($B$155,$DZ$1:$FA$202,$EZ195,0)</f>
        <v>639</v>
      </c>
      <c r="DX196" s="36">
        <v>25</v>
      </c>
      <c r="DY196" s="23">
        <v>186.5</v>
      </c>
      <c r="DZ196" s="12">
        <v>194</v>
      </c>
      <c r="EA196" s="12">
        <f t="shared" si="159"/>
        <v>712</v>
      </c>
      <c r="EB196" s="12">
        <f t="shared" si="160"/>
        <v>846</v>
      </c>
      <c r="EC196" s="12">
        <f t="shared" si="161"/>
        <v>836</v>
      </c>
      <c r="ED196" s="12">
        <f t="shared" si="162"/>
        <v>652</v>
      </c>
      <c r="EE196" s="12">
        <f t="shared" si="163"/>
        <v>478</v>
      </c>
      <c r="EF196" s="12">
        <f t="shared" si="164"/>
        <v>314</v>
      </c>
      <c r="EG196" s="12">
        <f t="shared" si="165"/>
        <v>304</v>
      </c>
      <c r="EH196" s="12">
        <f t="shared" si="166"/>
        <v>304</v>
      </c>
      <c r="EI196" s="12">
        <f t="shared" si="167"/>
        <v>294</v>
      </c>
      <c r="EJ196" s="12">
        <f t="shared" si="168"/>
        <v>284</v>
      </c>
      <c r="EK196" s="12">
        <f t="shared" si="169"/>
        <v>642</v>
      </c>
      <c r="EL196" s="12">
        <f t="shared" si="170"/>
        <v>304</v>
      </c>
      <c r="EM196" s="12">
        <f t="shared" si="171"/>
        <v>294</v>
      </c>
      <c r="EN196" s="12">
        <f t="shared" si="172"/>
        <v>458</v>
      </c>
      <c r="EO196" s="12">
        <f t="shared" si="173"/>
        <v>284</v>
      </c>
      <c r="EP196" s="12">
        <f t="shared" si="174"/>
        <v>274</v>
      </c>
      <c r="EQ196" s="12">
        <f t="shared" si="175"/>
        <v>264</v>
      </c>
      <c r="ER196" s="12">
        <f t="shared" si="176"/>
        <v>448</v>
      </c>
      <c r="ES196" s="12">
        <f t="shared" si="177"/>
        <v>428</v>
      </c>
      <c r="ET196" s="12">
        <f t="shared" si="178"/>
        <v>254</v>
      </c>
      <c r="EU196" s="12">
        <f t="shared" si="179"/>
        <v>418</v>
      </c>
      <c r="EV196" s="12">
        <f t="shared" si="180"/>
        <v>254</v>
      </c>
      <c r="EW196" s="12">
        <f t="shared" si="181"/>
        <v>234</v>
      </c>
      <c r="EX196" s="12">
        <f t="shared" si="182"/>
        <v>224</v>
      </c>
      <c r="EY196" s="12">
        <f t="shared" si="183"/>
        <v>204</v>
      </c>
      <c r="EZ196" s="12">
        <v>196</v>
      </c>
    </row>
    <row r="197" spans="1:156" ht="13.35" customHeight="1" thickBot="1" x14ac:dyDescent="0.25">
      <c r="A197" s="12">
        <v>51</v>
      </c>
      <c r="B197" s="12">
        <f t="shared" si="189"/>
        <v>79</v>
      </c>
      <c r="D197" s="12" t="s">
        <v>1868</v>
      </c>
      <c r="E197" s="12" t="s">
        <v>1910</v>
      </c>
      <c r="F197" s="12" t="s">
        <v>1866</v>
      </c>
      <c r="G197" s="12" t="s">
        <v>1866</v>
      </c>
      <c r="H197" s="12" t="s">
        <v>1866</v>
      </c>
      <c r="I197" s="12" t="s">
        <v>1866</v>
      </c>
      <c r="J197" s="12" t="s">
        <v>1866</v>
      </c>
      <c r="K197" s="12" t="s">
        <v>1866</v>
      </c>
      <c r="L197" s="12" t="s">
        <v>1866</v>
      </c>
      <c r="M197" s="12" t="s">
        <v>1854</v>
      </c>
      <c r="N197" s="12" t="s">
        <v>1854</v>
      </c>
      <c r="O197" s="12" t="s">
        <v>1866</v>
      </c>
      <c r="P197" s="12" t="s">
        <v>1866</v>
      </c>
      <c r="Q197" s="12" t="s">
        <v>1854</v>
      </c>
      <c r="R197" s="12" t="s">
        <v>1866</v>
      </c>
      <c r="S197" s="12" t="s">
        <v>1854</v>
      </c>
      <c r="T197" s="12" t="s">
        <v>1854</v>
      </c>
      <c r="U197" s="12" t="s">
        <v>1854</v>
      </c>
      <c r="V197" s="12" t="s">
        <v>1866</v>
      </c>
      <c r="W197" s="12" t="s">
        <v>1866</v>
      </c>
      <c r="X197" s="12" t="s">
        <v>1866</v>
      </c>
      <c r="Y197" s="12" t="s">
        <v>1866</v>
      </c>
      <c r="AA197" s="12" t="s">
        <v>1866</v>
      </c>
      <c r="AB197" s="12" t="s">
        <v>1866</v>
      </c>
      <c r="AC197" s="12" t="s">
        <v>1866</v>
      </c>
      <c r="AD197" s="12" t="s">
        <v>1866</v>
      </c>
      <c r="AF197" s="12" t="s">
        <v>1854</v>
      </c>
      <c r="AG197" s="12" t="s">
        <v>1866</v>
      </c>
      <c r="AH197" s="12" t="s">
        <v>1866</v>
      </c>
      <c r="AJ197" s="12" t="s">
        <v>1866</v>
      </c>
      <c r="AK197" s="12" t="s">
        <v>1866</v>
      </c>
      <c r="AL197" s="12" t="s">
        <v>1866</v>
      </c>
      <c r="AM197" s="12" t="s">
        <v>1854</v>
      </c>
      <c r="AO197" s="12" t="s">
        <v>1854</v>
      </c>
      <c r="AP197" s="12" t="s">
        <v>1854</v>
      </c>
      <c r="AQ197" s="12" t="s">
        <v>1854</v>
      </c>
      <c r="CS197" s="12" t="s">
        <v>1866</v>
      </c>
      <c r="CT197" s="12" t="s">
        <v>1866</v>
      </c>
      <c r="CU197" s="12" t="s">
        <v>1866</v>
      </c>
      <c r="CV197" s="12" t="s">
        <v>1866</v>
      </c>
      <c r="DF197" s="12">
        <v>22</v>
      </c>
      <c r="DQ197" s="35">
        <v>194</v>
      </c>
      <c r="DR197" s="32">
        <v>117</v>
      </c>
      <c r="DS197" s="73">
        <v>142</v>
      </c>
      <c r="DT197" s="71">
        <v>25</v>
      </c>
      <c r="DU197" s="21">
        <v>259</v>
      </c>
      <c r="DV197" s="31">
        <f t="shared" si="190"/>
        <v>294</v>
      </c>
      <c r="DW197" s="30">
        <f t="shared" si="191"/>
        <v>642</v>
      </c>
      <c r="DX197" s="36">
        <v>25</v>
      </c>
      <c r="DY197" s="23">
        <v>187</v>
      </c>
      <c r="DZ197" s="12">
        <v>195</v>
      </c>
      <c r="EA197" s="12">
        <f t="shared" si="159"/>
        <v>715</v>
      </c>
      <c r="EB197" s="12">
        <f t="shared" si="160"/>
        <v>850</v>
      </c>
      <c r="EC197" s="12">
        <f t="shared" si="161"/>
        <v>840</v>
      </c>
      <c r="ED197" s="12">
        <f t="shared" si="162"/>
        <v>655</v>
      </c>
      <c r="EE197" s="12">
        <f t="shared" si="163"/>
        <v>480</v>
      </c>
      <c r="EF197" s="12">
        <f t="shared" si="164"/>
        <v>315</v>
      </c>
      <c r="EG197" s="12">
        <f t="shared" si="165"/>
        <v>305</v>
      </c>
      <c r="EH197" s="12">
        <f t="shared" si="166"/>
        <v>305</v>
      </c>
      <c r="EI197" s="12">
        <f t="shared" si="167"/>
        <v>295</v>
      </c>
      <c r="EJ197" s="12">
        <f t="shared" si="168"/>
        <v>285</v>
      </c>
      <c r="EK197" s="12">
        <f t="shared" si="169"/>
        <v>645</v>
      </c>
      <c r="EL197" s="12">
        <f t="shared" si="170"/>
        <v>305</v>
      </c>
      <c r="EM197" s="12">
        <f t="shared" si="171"/>
        <v>295</v>
      </c>
      <c r="EN197" s="12">
        <f t="shared" si="172"/>
        <v>460</v>
      </c>
      <c r="EO197" s="12">
        <f t="shared" si="173"/>
        <v>285</v>
      </c>
      <c r="EP197" s="12">
        <f t="shared" si="174"/>
        <v>275</v>
      </c>
      <c r="EQ197" s="12">
        <f t="shared" si="175"/>
        <v>265</v>
      </c>
      <c r="ER197" s="12">
        <f t="shared" si="176"/>
        <v>450</v>
      </c>
      <c r="ES197" s="12">
        <f t="shared" si="177"/>
        <v>430</v>
      </c>
      <c r="ET197" s="12">
        <f t="shared" si="178"/>
        <v>255</v>
      </c>
      <c r="EU197" s="12">
        <f t="shared" si="179"/>
        <v>420</v>
      </c>
      <c r="EV197" s="12">
        <f t="shared" si="180"/>
        <v>255</v>
      </c>
      <c r="EW197" s="12">
        <f t="shared" si="181"/>
        <v>235</v>
      </c>
      <c r="EX197" s="12">
        <f t="shared" si="182"/>
        <v>225</v>
      </c>
      <c r="EY197" s="12">
        <f t="shared" si="183"/>
        <v>205</v>
      </c>
      <c r="EZ197" s="12">
        <v>197</v>
      </c>
    </row>
    <row r="198" spans="1:156" ht="13.35" customHeight="1" thickBot="1" x14ac:dyDescent="0.25">
      <c r="A198" s="12">
        <v>52</v>
      </c>
      <c r="B198" s="12">
        <f t="shared" si="189"/>
        <v>80</v>
      </c>
      <c r="D198" s="12" t="s">
        <v>1857</v>
      </c>
      <c r="E198" s="12" t="s">
        <v>1899</v>
      </c>
      <c r="F198" s="12" t="s">
        <v>1854</v>
      </c>
      <c r="G198" s="12" t="s">
        <v>1854</v>
      </c>
      <c r="H198" s="12" t="s">
        <v>1854</v>
      </c>
      <c r="I198" s="12" t="s">
        <v>1854</v>
      </c>
      <c r="J198" s="12" t="s">
        <v>1854</v>
      </c>
      <c r="K198" s="12" t="s">
        <v>1854</v>
      </c>
      <c r="L198" s="12" t="s">
        <v>1854</v>
      </c>
      <c r="O198" s="12" t="s">
        <v>1854</v>
      </c>
      <c r="P198" s="12" t="s">
        <v>1854</v>
      </c>
      <c r="R198" s="12" t="s">
        <v>1854</v>
      </c>
      <c r="V198" s="12" t="s">
        <v>1854</v>
      </c>
      <c r="W198" s="12" t="s">
        <v>1854</v>
      </c>
      <c r="X198" s="12" t="s">
        <v>1854</v>
      </c>
      <c r="Y198" s="12" t="s">
        <v>1854</v>
      </c>
      <c r="AA198" s="12" t="s">
        <v>1854</v>
      </c>
      <c r="AB198" s="12" t="s">
        <v>1854</v>
      </c>
      <c r="AC198" s="12" t="s">
        <v>1854</v>
      </c>
      <c r="AD198" s="12" t="s">
        <v>1854</v>
      </c>
      <c r="AG198" s="12" t="s">
        <v>1854</v>
      </c>
      <c r="AH198" s="12" t="s">
        <v>1854</v>
      </c>
      <c r="AJ198" s="12" t="s">
        <v>1854</v>
      </c>
      <c r="AK198" s="12" t="s">
        <v>1854</v>
      </c>
      <c r="AL198" s="12" t="s">
        <v>1854</v>
      </c>
      <c r="CS198" s="12" t="s">
        <v>1854</v>
      </c>
      <c r="CT198" s="12" t="s">
        <v>1854</v>
      </c>
      <c r="CU198" s="12" t="s">
        <v>1854</v>
      </c>
      <c r="CV198" s="12" t="s">
        <v>1854</v>
      </c>
      <c r="DF198" s="12">
        <v>23</v>
      </c>
      <c r="DQ198" s="35">
        <v>195</v>
      </c>
      <c r="DR198" s="32">
        <v>118</v>
      </c>
      <c r="DS198" s="73">
        <v>142.5</v>
      </c>
      <c r="DT198" s="71">
        <v>25</v>
      </c>
      <c r="DU198" s="21">
        <v>260</v>
      </c>
      <c r="DV198" s="31">
        <f t="shared" si="190"/>
        <v>295</v>
      </c>
      <c r="DW198" s="30">
        <f t="shared" si="191"/>
        <v>645</v>
      </c>
      <c r="DX198" s="36">
        <v>25</v>
      </c>
      <c r="DY198" s="23">
        <v>187.5</v>
      </c>
      <c r="DZ198" s="12">
        <v>196</v>
      </c>
      <c r="EA198" s="12">
        <f t="shared" si="159"/>
        <v>718</v>
      </c>
      <c r="EB198" s="12">
        <f t="shared" si="160"/>
        <v>854</v>
      </c>
      <c r="EC198" s="12">
        <f t="shared" si="161"/>
        <v>844</v>
      </c>
      <c r="ED198" s="12">
        <f t="shared" si="162"/>
        <v>658</v>
      </c>
      <c r="EE198" s="12">
        <f t="shared" si="163"/>
        <v>482</v>
      </c>
      <c r="EF198" s="12">
        <f t="shared" si="164"/>
        <v>316</v>
      </c>
      <c r="EG198" s="12">
        <f t="shared" si="165"/>
        <v>306</v>
      </c>
      <c r="EH198" s="12">
        <f t="shared" si="166"/>
        <v>306</v>
      </c>
      <c r="EI198" s="12">
        <f t="shared" si="167"/>
        <v>296</v>
      </c>
      <c r="EJ198" s="12">
        <f t="shared" si="168"/>
        <v>286</v>
      </c>
      <c r="EK198" s="12">
        <f t="shared" si="169"/>
        <v>648</v>
      </c>
      <c r="EL198" s="12">
        <f t="shared" si="170"/>
        <v>306</v>
      </c>
      <c r="EM198" s="12">
        <f t="shared" si="171"/>
        <v>296</v>
      </c>
      <c r="EN198" s="12">
        <f t="shared" si="172"/>
        <v>462</v>
      </c>
      <c r="EO198" s="12">
        <f t="shared" si="173"/>
        <v>286</v>
      </c>
      <c r="EP198" s="12">
        <f t="shared" si="174"/>
        <v>276</v>
      </c>
      <c r="EQ198" s="12">
        <f t="shared" si="175"/>
        <v>266</v>
      </c>
      <c r="ER198" s="12">
        <f t="shared" si="176"/>
        <v>452</v>
      </c>
      <c r="ES198" s="12">
        <f t="shared" si="177"/>
        <v>432</v>
      </c>
      <c r="ET198" s="12">
        <f t="shared" si="178"/>
        <v>256</v>
      </c>
      <c r="EU198" s="12">
        <f t="shared" si="179"/>
        <v>422</v>
      </c>
      <c r="EV198" s="12">
        <f t="shared" si="180"/>
        <v>256</v>
      </c>
      <c r="EW198" s="12">
        <f t="shared" si="181"/>
        <v>236</v>
      </c>
      <c r="EX198" s="12">
        <f t="shared" si="182"/>
        <v>226</v>
      </c>
      <c r="EY198" s="12">
        <f t="shared" si="183"/>
        <v>206</v>
      </c>
      <c r="EZ198" s="12">
        <v>198</v>
      </c>
    </row>
    <row r="199" spans="1:156" ht="13.35" customHeight="1" thickBot="1" x14ac:dyDescent="0.25">
      <c r="A199" s="12">
        <v>53</v>
      </c>
      <c r="B199" s="12">
        <f t="shared" si="189"/>
        <v>81</v>
      </c>
      <c r="DQ199" s="35">
        <v>196</v>
      </c>
      <c r="DR199" s="32">
        <v>118</v>
      </c>
      <c r="DS199" s="73">
        <v>143</v>
      </c>
      <c r="DT199" s="71">
        <v>25</v>
      </c>
      <c r="DU199" s="21">
        <v>261</v>
      </c>
      <c r="DV199" s="31">
        <f t="shared" si="190"/>
        <v>296</v>
      </c>
      <c r="DW199" s="30">
        <f t="shared" si="191"/>
        <v>648</v>
      </c>
      <c r="DX199" s="36">
        <v>25</v>
      </c>
      <c r="DY199" s="23">
        <v>188</v>
      </c>
      <c r="DZ199" s="12">
        <v>197</v>
      </c>
      <c r="EA199" s="12">
        <f t="shared" si="159"/>
        <v>721</v>
      </c>
      <c r="EB199" s="12">
        <f t="shared" si="160"/>
        <v>858</v>
      </c>
      <c r="EC199" s="12">
        <f t="shared" si="161"/>
        <v>848</v>
      </c>
      <c r="ED199" s="12">
        <f t="shared" si="162"/>
        <v>661</v>
      </c>
      <c r="EE199" s="12">
        <f t="shared" si="163"/>
        <v>484</v>
      </c>
      <c r="EF199" s="12">
        <f t="shared" si="164"/>
        <v>317</v>
      </c>
      <c r="EG199" s="12">
        <f t="shared" si="165"/>
        <v>307</v>
      </c>
      <c r="EH199" s="12">
        <f t="shared" si="166"/>
        <v>307</v>
      </c>
      <c r="EI199" s="12">
        <f t="shared" si="167"/>
        <v>297</v>
      </c>
      <c r="EJ199" s="12">
        <f t="shared" si="168"/>
        <v>287</v>
      </c>
      <c r="EK199" s="12">
        <f t="shared" si="169"/>
        <v>651</v>
      </c>
      <c r="EL199" s="12">
        <f t="shared" si="170"/>
        <v>307</v>
      </c>
      <c r="EM199" s="12">
        <f t="shared" si="171"/>
        <v>297</v>
      </c>
      <c r="EN199" s="12">
        <f t="shared" si="172"/>
        <v>464</v>
      </c>
      <c r="EO199" s="12">
        <f t="shared" si="173"/>
        <v>287</v>
      </c>
      <c r="EP199" s="12">
        <f t="shared" si="174"/>
        <v>277</v>
      </c>
      <c r="EQ199" s="12">
        <f t="shared" si="175"/>
        <v>267</v>
      </c>
      <c r="ER199" s="12">
        <f t="shared" si="176"/>
        <v>454</v>
      </c>
      <c r="ES199" s="12">
        <f t="shared" si="177"/>
        <v>434</v>
      </c>
      <c r="ET199" s="12">
        <f t="shared" si="178"/>
        <v>257</v>
      </c>
      <c r="EU199" s="12">
        <f t="shared" si="179"/>
        <v>424</v>
      </c>
      <c r="EV199" s="12">
        <f t="shared" si="180"/>
        <v>257</v>
      </c>
      <c r="EW199" s="12">
        <f t="shared" si="181"/>
        <v>237</v>
      </c>
      <c r="EX199" s="12">
        <f t="shared" si="182"/>
        <v>227</v>
      </c>
      <c r="EY199" s="12">
        <f t="shared" si="183"/>
        <v>207</v>
      </c>
      <c r="EZ199" s="12">
        <v>199</v>
      </c>
    </row>
    <row r="200" spans="1:156" ht="13.35" customHeight="1" thickBot="1" x14ac:dyDescent="0.25">
      <c r="A200" s="78">
        <v>54</v>
      </c>
      <c r="B200" s="78">
        <f t="shared" si="189"/>
        <v>82</v>
      </c>
      <c r="DQ200" s="35">
        <v>197</v>
      </c>
      <c r="DR200" s="32">
        <v>119</v>
      </c>
      <c r="DS200" s="73">
        <v>143.5</v>
      </c>
      <c r="DT200" s="71">
        <v>25</v>
      </c>
      <c r="DU200" s="21">
        <v>262</v>
      </c>
      <c r="DV200" s="31">
        <f t="shared" si="190"/>
        <v>297</v>
      </c>
      <c r="DW200" s="30">
        <f t="shared" si="191"/>
        <v>651</v>
      </c>
      <c r="DX200" s="36">
        <v>25</v>
      </c>
      <c r="DY200" s="23">
        <v>188.5</v>
      </c>
      <c r="DZ200" s="12">
        <v>198</v>
      </c>
      <c r="EA200" s="12">
        <f t="shared" si="159"/>
        <v>724</v>
      </c>
      <c r="EB200" s="12">
        <f t="shared" si="160"/>
        <v>862</v>
      </c>
      <c r="EC200" s="12">
        <f t="shared" si="161"/>
        <v>852</v>
      </c>
      <c r="ED200" s="12">
        <f t="shared" si="162"/>
        <v>664</v>
      </c>
      <c r="EE200" s="12">
        <f t="shared" si="163"/>
        <v>486</v>
      </c>
      <c r="EF200" s="12">
        <f t="shared" si="164"/>
        <v>318</v>
      </c>
      <c r="EG200" s="12">
        <f t="shared" si="165"/>
        <v>308</v>
      </c>
      <c r="EH200" s="12">
        <f t="shared" si="166"/>
        <v>308</v>
      </c>
      <c r="EI200" s="12">
        <f t="shared" si="167"/>
        <v>298</v>
      </c>
      <c r="EJ200" s="12">
        <f t="shared" si="168"/>
        <v>288</v>
      </c>
      <c r="EK200" s="12">
        <f t="shared" si="169"/>
        <v>654</v>
      </c>
      <c r="EL200" s="12">
        <f t="shared" si="170"/>
        <v>308</v>
      </c>
      <c r="EM200" s="12">
        <f t="shared" si="171"/>
        <v>298</v>
      </c>
      <c r="EN200" s="12">
        <f t="shared" si="172"/>
        <v>466</v>
      </c>
      <c r="EO200" s="12">
        <f t="shared" si="173"/>
        <v>288</v>
      </c>
      <c r="EP200" s="12">
        <f t="shared" si="174"/>
        <v>278</v>
      </c>
      <c r="EQ200" s="12">
        <f t="shared" si="175"/>
        <v>268</v>
      </c>
      <c r="ER200" s="12">
        <f t="shared" si="176"/>
        <v>456</v>
      </c>
      <c r="ES200" s="12">
        <f t="shared" si="177"/>
        <v>436</v>
      </c>
      <c r="ET200" s="12">
        <f t="shared" si="178"/>
        <v>258</v>
      </c>
      <c r="EU200" s="12">
        <f t="shared" si="179"/>
        <v>426</v>
      </c>
      <c r="EV200" s="12">
        <f t="shared" si="180"/>
        <v>258</v>
      </c>
      <c r="EW200" s="12">
        <f t="shared" si="181"/>
        <v>238</v>
      </c>
      <c r="EX200" s="12">
        <f t="shared" si="182"/>
        <v>228</v>
      </c>
      <c r="EY200" s="12">
        <f t="shared" si="183"/>
        <v>208</v>
      </c>
      <c r="EZ200" s="12">
        <v>200</v>
      </c>
    </row>
    <row r="201" spans="1:156" ht="13.35" customHeight="1" thickBot="1" x14ac:dyDescent="0.25">
      <c r="A201" s="12">
        <v>55</v>
      </c>
      <c r="B201" s="12">
        <f t="shared" ref="B201:B210" si="192">A201+22</f>
        <v>77</v>
      </c>
      <c r="E201" s="45"/>
      <c r="DQ201" s="35">
        <v>198</v>
      </c>
      <c r="DR201" s="32">
        <v>119</v>
      </c>
      <c r="DS201" s="73">
        <v>144</v>
      </c>
      <c r="DT201" s="71">
        <v>25</v>
      </c>
      <c r="DU201" s="21">
        <v>263</v>
      </c>
      <c r="DV201" s="31">
        <f t="shared" si="190"/>
        <v>298</v>
      </c>
      <c r="DW201" s="30">
        <f t="shared" si="191"/>
        <v>654</v>
      </c>
      <c r="DX201" s="36">
        <v>25</v>
      </c>
      <c r="DY201" s="23">
        <v>189</v>
      </c>
      <c r="DZ201" s="12">
        <v>199</v>
      </c>
      <c r="EA201" s="12">
        <f t="shared" si="159"/>
        <v>727</v>
      </c>
      <c r="EB201" s="12">
        <f t="shared" si="160"/>
        <v>866</v>
      </c>
      <c r="EC201" s="12">
        <f t="shared" si="161"/>
        <v>856</v>
      </c>
      <c r="ED201" s="12">
        <f t="shared" si="162"/>
        <v>667</v>
      </c>
      <c r="EE201" s="12">
        <f t="shared" si="163"/>
        <v>488</v>
      </c>
      <c r="EF201" s="12">
        <f t="shared" si="164"/>
        <v>319</v>
      </c>
      <c r="EG201" s="12">
        <f t="shared" si="165"/>
        <v>309</v>
      </c>
      <c r="EH201" s="12">
        <f t="shared" si="166"/>
        <v>309</v>
      </c>
      <c r="EI201" s="12">
        <f t="shared" si="167"/>
        <v>299</v>
      </c>
      <c r="EJ201" s="12">
        <f t="shared" si="168"/>
        <v>289</v>
      </c>
      <c r="EK201" s="12">
        <f t="shared" si="169"/>
        <v>657</v>
      </c>
      <c r="EL201" s="12">
        <f t="shared" si="170"/>
        <v>309</v>
      </c>
      <c r="EM201" s="12">
        <f t="shared" si="171"/>
        <v>299</v>
      </c>
      <c r="EN201" s="12">
        <f t="shared" si="172"/>
        <v>468</v>
      </c>
      <c r="EO201" s="12">
        <f t="shared" si="173"/>
        <v>289</v>
      </c>
      <c r="EP201" s="12">
        <f t="shared" si="174"/>
        <v>279</v>
      </c>
      <c r="EQ201" s="12">
        <f t="shared" si="175"/>
        <v>269</v>
      </c>
      <c r="ER201" s="12">
        <f t="shared" si="176"/>
        <v>458</v>
      </c>
      <c r="ES201" s="12">
        <f t="shared" si="177"/>
        <v>438</v>
      </c>
      <c r="ET201" s="12">
        <f t="shared" si="178"/>
        <v>259</v>
      </c>
      <c r="EU201" s="12">
        <f t="shared" si="179"/>
        <v>428</v>
      </c>
      <c r="EV201" s="12">
        <f t="shared" si="180"/>
        <v>259</v>
      </c>
      <c r="EW201" s="12">
        <f t="shared" si="181"/>
        <v>239</v>
      </c>
      <c r="EX201" s="12">
        <f t="shared" si="182"/>
        <v>229</v>
      </c>
      <c r="EY201" s="12">
        <f t="shared" si="183"/>
        <v>209</v>
      </c>
      <c r="EZ201" s="12">
        <v>201</v>
      </c>
    </row>
    <row r="202" spans="1:156" ht="13.35" customHeight="1" thickBot="1" x14ac:dyDescent="0.25">
      <c r="A202" s="12">
        <v>56</v>
      </c>
      <c r="B202" s="12">
        <f t="shared" si="192"/>
        <v>78</v>
      </c>
      <c r="E202" s="45"/>
      <c r="DQ202" s="35">
        <v>199</v>
      </c>
      <c r="DR202" s="32">
        <v>120</v>
      </c>
      <c r="DS202" s="73">
        <v>144.5</v>
      </c>
      <c r="DT202" s="71">
        <v>25</v>
      </c>
      <c r="DU202" s="21">
        <v>264</v>
      </c>
      <c r="DV202" s="31">
        <f t="shared" si="190"/>
        <v>299</v>
      </c>
      <c r="DW202" s="30">
        <f t="shared" si="191"/>
        <v>657</v>
      </c>
      <c r="DX202" s="36">
        <v>25</v>
      </c>
      <c r="DY202" s="23">
        <v>189.5</v>
      </c>
      <c r="DZ202" s="12">
        <v>200</v>
      </c>
      <c r="EA202" s="12">
        <f t="shared" si="159"/>
        <v>730</v>
      </c>
      <c r="EB202" s="12">
        <f t="shared" si="160"/>
        <v>870</v>
      </c>
      <c r="EC202" s="12">
        <f t="shared" si="161"/>
        <v>860</v>
      </c>
      <c r="ED202" s="12">
        <f t="shared" si="162"/>
        <v>670</v>
      </c>
      <c r="EE202" s="12">
        <f t="shared" si="163"/>
        <v>490</v>
      </c>
      <c r="EF202" s="12">
        <f t="shared" si="164"/>
        <v>320</v>
      </c>
      <c r="EG202" s="12">
        <f t="shared" si="165"/>
        <v>310</v>
      </c>
      <c r="EH202" s="12">
        <f t="shared" si="166"/>
        <v>310</v>
      </c>
      <c r="EI202" s="12">
        <f t="shared" si="167"/>
        <v>300</v>
      </c>
      <c r="EJ202" s="12">
        <f t="shared" si="168"/>
        <v>290</v>
      </c>
      <c r="EK202" s="12">
        <f t="shared" si="169"/>
        <v>660</v>
      </c>
      <c r="EL202" s="12">
        <f t="shared" si="170"/>
        <v>310</v>
      </c>
      <c r="EM202" s="12">
        <f t="shared" si="171"/>
        <v>300</v>
      </c>
      <c r="EN202" s="12">
        <f t="shared" si="172"/>
        <v>470</v>
      </c>
      <c r="EO202" s="12">
        <f t="shared" si="173"/>
        <v>290</v>
      </c>
      <c r="EP202" s="12">
        <f t="shared" si="174"/>
        <v>280</v>
      </c>
      <c r="EQ202" s="12">
        <f t="shared" si="175"/>
        <v>270</v>
      </c>
      <c r="ER202" s="12">
        <f t="shared" si="176"/>
        <v>460</v>
      </c>
      <c r="ES202" s="12">
        <f t="shared" si="177"/>
        <v>440</v>
      </c>
      <c r="ET202" s="12">
        <f t="shared" si="178"/>
        <v>260</v>
      </c>
      <c r="EU202" s="12">
        <f t="shared" si="179"/>
        <v>430</v>
      </c>
      <c r="EV202" s="12">
        <f t="shared" si="180"/>
        <v>260</v>
      </c>
      <c r="EW202" s="12">
        <f t="shared" si="181"/>
        <v>240</v>
      </c>
      <c r="EX202" s="12">
        <f t="shared" si="182"/>
        <v>230</v>
      </c>
      <c r="EY202" s="12">
        <f t="shared" si="183"/>
        <v>210</v>
      </c>
      <c r="EZ202" s="12">
        <v>202</v>
      </c>
    </row>
    <row r="203" spans="1:156" ht="13.35" customHeight="1" x14ac:dyDescent="0.2">
      <c r="A203" s="12">
        <v>57</v>
      </c>
      <c r="B203" s="12">
        <f t="shared" si="192"/>
        <v>79</v>
      </c>
      <c r="E203" s="45" t="s">
        <v>1919</v>
      </c>
      <c r="F203" s="12" t="str">
        <f>HLOOKUP(Stats!$B$5,$F$176:$DE$198,2,0)</f>
        <v>Arien</v>
      </c>
      <c r="DQ203" s="35">
        <v>200</v>
      </c>
      <c r="DR203" s="32">
        <v>120</v>
      </c>
      <c r="DS203" s="73">
        <v>145</v>
      </c>
      <c r="DT203" s="71">
        <v>25</v>
      </c>
      <c r="DU203" s="21">
        <v>265</v>
      </c>
      <c r="DV203" s="31">
        <f t="shared" si="190"/>
        <v>300</v>
      </c>
      <c r="DW203" s="30">
        <f t="shared" si="191"/>
        <v>660</v>
      </c>
      <c r="DX203" s="36">
        <v>25</v>
      </c>
      <c r="DY203" s="23">
        <v>190</v>
      </c>
    </row>
    <row r="204" spans="1:156" ht="13.35" customHeight="1" x14ac:dyDescent="0.2">
      <c r="A204" s="12">
        <v>58</v>
      </c>
      <c r="B204" s="12">
        <f t="shared" si="192"/>
        <v>80</v>
      </c>
      <c r="E204" s="45"/>
      <c r="F204" s="12" t="str">
        <f>HLOOKUP(Stats!$B$5,$F$176:$DE$198,3,0)</f>
        <v>Aulë</v>
      </c>
    </row>
    <row r="205" spans="1:156" ht="13.35" customHeight="1" x14ac:dyDescent="0.2">
      <c r="A205" s="12">
        <v>59</v>
      </c>
      <c r="B205" s="12">
        <f t="shared" si="192"/>
        <v>81</v>
      </c>
      <c r="E205" s="45"/>
      <c r="F205" s="12" t="str">
        <f>HLOOKUP(Stats!$B$5,$F$176:$DE$198,4,0)</f>
        <v>Ben-Adar</v>
      </c>
    </row>
    <row r="206" spans="1:156" ht="13.35" customHeight="1" x14ac:dyDescent="0.2">
      <c r="A206" s="12">
        <v>60</v>
      </c>
      <c r="B206" s="12">
        <f t="shared" si="192"/>
        <v>82</v>
      </c>
      <c r="E206" s="45"/>
      <c r="F206" s="12" t="str">
        <f>HLOOKUP(Stats!$B$5,$F$176:$DE$198,5,0)</f>
        <v>Ëonwë</v>
      </c>
    </row>
    <row r="207" spans="1:156" ht="13.35" customHeight="1" x14ac:dyDescent="0.2">
      <c r="A207" s="12">
        <v>61</v>
      </c>
      <c r="B207" s="12">
        <f t="shared" si="192"/>
        <v>83</v>
      </c>
      <c r="E207" s="45"/>
      <c r="F207" s="12" t="str">
        <f>HLOOKUP(Stats!$B$5,$F$176:$DE$198,6,0)</f>
        <v>Estë</v>
      </c>
    </row>
    <row r="208" spans="1:156" ht="13.35" customHeight="1" x14ac:dyDescent="0.2">
      <c r="A208" s="12">
        <v>62</v>
      </c>
      <c r="B208" s="12">
        <f t="shared" si="192"/>
        <v>84</v>
      </c>
      <c r="E208" s="45"/>
      <c r="F208" s="12" t="str">
        <f>HLOOKUP(Stats!$B$5,$F$176:$DE$198,7,0)</f>
        <v>Ilmarë</v>
      </c>
    </row>
    <row r="209" spans="1:6" ht="13.35" customHeight="1" x14ac:dyDescent="0.2">
      <c r="A209" s="12">
        <v>63</v>
      </c>
      <c r="B209" s="12">
        <f t="shared" si="192"/>
        <v>85</v>
      </c>
      <c r="E209" s="45"/>
      <c r="F209" s="12" t="str">
        <f>HLOOKUP(Stats!$B$5,$F$176:$DE$198,8,0)</f>
        <v>Irmo</v>
      </c>
    </row>
    <row r="210" spans="1:6" ht="13.35" customHeight="1" x14ac:dyDescent="0.2">
      <c r="A210" s="78">
        <v>64</v>
      </c>
      <c r="B210" s="78">
        <f t="shared" si="192"/>
        <v>86</v>
      </c>
      <c r="E210" s="45"/>
      <c r="F210" s="12" t="str">
        <f>HLOOKUP(Stats!$B$5,$F$176:$DE$198,9,0)</f>
        <v>Manwë</v>
      </c>
    </row>
    <row r="211" spans="1:6" ht="13.35" customHeight="1" x14ac:dyDescent="0.2">
      <c r="A211" s="12">
        <v>65</v>
      </c>
      <c r="B211" s="12">
        <f t="shared" ref="B211:B220" si="193">A211+17</f>
        <v>82</v>
      </c>
      <c r="E211" s="45"/>
      <c r="F211" s="12" t="str">
        <f>HLOOKUP(Stats!$B$5,$F$176:$DE$198,10,0)</f>
        <v>Morgoth</v>
      </c>
    </row>
    <row r="212" spans="1:6" ht="13.35" customHeight="1" x14ac:dyDescent="0.2">
      <c r="A212" s="12">
        <v>66</v>
      </c>
      <c r="B212" s="12">
        <f t="shared" si="193"/>
        <v>83</v>
      </c>
      <c r="E212" s="45"/>
      <c r="F212" s="12" t="str">
        <f>HLOOKUP(Stats!$B$5,$F$176:$DE$198,11,0)</f>
        <v>Námo</v>
      </c>
    </row>
    <row r="213" spans="1:6" ht="13.35" customHeight="1" x14ac:dyDescent="0.2">
      <c r="A213" s="12">
        <v>67</v>
      </c>
      <c r="B213" s="12">
        <f t="shared" si="193"/>
        <v>84</v>
      </c>
      <c r="E213" s="45"/>
      <c r="F213" s="12" t="str">
        <f>HLOOKUP(Stats!$B$5,$F$176:$DE$198,12,0)</f>
        <v>Nessa</v>
      </c>
    </row>
    <row r="214" spans="1:6" ht="13.35" customHeight="1" x14ac:dyDescent="0.2">
      <c r="A214" s="12">
        <v>68</v>
      </c>
      <c r="B214" s="12">
        <f t="shared" si="193"/>
        <v>85</v>
      </c>
      <c r="E214" s="45"/>
      <c r="F214" s="12" t="str">
        <f>HLOOKUP(Stats!$B$5,$F$176:$DE$198,13,0)</f>
        <v>Nienna</v>
      </c>
    </row>
    <row r="215" spans="1:6" ht="13.35" customHeight="1" x14ac:dyDescent="0.2">
      <c r="A215" s="12">
        <v>69</v>
      </c>
      <c r="B215" s="12">
        <f t="shared" si="193"/>
        <v>86</v>
      </c>
      <c r="E215" s="45"/>
      <c r="F215" s="12" t="str">
        <f>HLOOKUP(Stats!$B$5,$F$176:$DE$198,14,0)</f>
        <v>Oromë</v>
      </c>
    </row>
    <row r="216" spans="1:6" ht="13.35" customHeight="1" x14ac:dyDescent="0.2">
      <c r="A216" s="12">
        <v>70</v>
      </c>
      <c r="B216" s="12">
        <f t="shared" si="193"/>
        <v>87</v>
      </c>
      <c r="E216" s="45"/>
      <c r="F216" s="12" t="str">
        <f>HLOOKUP(Stats!$B$5,$F$176:$DE$198,15,0)</f>
        <v>Ossë</v>
      </c>
    </row>
    <row r="217" spans="1:6" ht="13.35" customHeight="1" x14ac:dyDescent="0.2">
      <c r="A217" s="12">
        <v>71</v>
      </c>
      <c r="B217" s="12">
        <f t="shared" si="193"/>
        <v>88</v>
      </c>
      <c r="E217" s="45"/>
      <c r="F217" s="12" t="str">
        <f>HLOOKUP(Stats!$B$5,$F$176:$DE$198,16,0)</f>
        <v>Tilion</v>
      </c>
    </row>
    <row r="218" spans="1:6" ht="13.35" customHeight="1" x14ac:dyDescent="0.2">
      <c r="A218" s="12">
        <v>72</v>
      </c>
      <c r="B218" s="12">
        <f t="shared" si="193"/>
        <v>89</v>
      </c>
      <c r="E218" s="45"/>
      <c r="F218" s="12" t="str">
        <f>HLOOKUP(Stats!$B$5,$F$176:$DE$198,17,0)</f>
        <v>Tulkas</v>
      </c>
    </row>
    <row r="219" spans="1:6" ht="13.35" customHeight="1" x14ac:dyDescent="0.2">
      <c r="A219" s="12">
        <v>73</v>
      </c>
      <c r="B219" s="12">
        <f t="shared" si="193"/>
        <v>90</v>
      </c>
      <c r="E219" s="45"/>
      <c r="F219" s="12" t="str">
        <f>HLOOKUP(Stats!$B$5,$F$176:$DE$198,18,0)</f>
        <v>Ulmo</v>
      </c>
    </row>
    <row r="220" spans="1:6" ht="13.35" customHeight="1" x14ac:dyDescent="0.2">
      <c r="A220" s="78">
        <v>74</v>
      </c>
      <c r="B220" s="78">
        <f t="shared" si="193"/>
        <v>91</v>
      </c>
      <c r="E220" s="45"/>
      <c r="F220" s="12" t="str">
        <f>HLOOKUP(Stats!$B$5,$F$176:$DE$198,19,0)</f>
        <v>Vairë</v>
      </c>
    </row>
    <row r="221" spans="1:6" ht="13.35" customHeight="1" x14ac:dyDescent="0.2">
      <c r="A221" s="12">
        <v>75</v>
      </c>
      <c r="B221" s="12">
        <f t="shared" ref="B221:B230" si="194">A221+11</f>
        <v>86</v>
      </c>
      <c r="E221" s="45"/>
      <c r="F221" s="12" t="str">
        <f>HLOOKUP(Stats!$B$5,$F$176:$DE$198,20,0)</f>
        <v>Vána</v>
      </c>
    </row>
    <row r="222" spans="1:6" ht="13.35" customHeight="1" x14ac:dyDescent="0.2">
      <c r="A222" s="12">
        <v>76</v>
      </c>
      <c r="B222" s="12">
        <f t="shared" si="194"/>
        <v>87</v>
      </c>
      <c r="E222" s="45"/>
      <c r="F222" s="12" t="str">
        <f>HLOOKUP(Stats!$B$5,$F$176:$DE$198,21,0)</f>
        <v>Varda</v>
      </c>
    </row>
    <row r="223" spans="1:6" ht="13.35" customHeight="1" x14ac:dyDescent="0.2">
      <c r="A223" s="12">
        <v>77</v>
      </c>
      <c r="B223" s="12">
        <f t="shared" si="194"/>
        <v>88</v>
      </c>
      <c r="E223" s="45"/>
      <c r="F223" s="12" t="str">
        <f>HLOOKUP(Stats!$B$5,$F$176:$DE$198,22,0)</f>
        <v>Yavanna</v>
      </c>
    </row>
    <row r="224" spans="1:6" ht="13.35" customHeight="1" x14ac:dyDescent="0.2">
      <c r="A224" s="12">
        <v>78</v>
      </c>
      <c r="B224" s="12">
        <f t="shared" si="194"/>
        <v>89</v>
      </c>
      <c r="E224" s="45"/>
      <c r="F224" s="12">
        <f>HLOOKUP(Stats!$B$5,$F$176:$DE$198,23,0)</f>
        <v>0</v>
      </c>
    </row>
    <row r="225" spans="1:5" ht="13.35" customHeight="1" x14ac:dyDescent="0.2">
      <c r="A225" s="12">
        <v>79</v>
      </c>
      <c r="B225" s="12">
        <f t="shared" si="194"/>
        <v>90</v>
      </c>
      <c r="E225" s="45"/>
    </row>
    <row r="226" spans="1:5" ht="13.35" customHeight="1" x14ac:dyDescent="0.2">
      <c r="A226" s="12">
        <v>80</v>
      </c>
      <c r="B226" s="12">
        <f t="shared" si="194"/>
        <v>91</v>
      </c>
      <c r="E226" s="45"/>
    </row>
    <row r="227" spans="1:5" ht="13.35" customHeight="1" x14ac:dyDescent="0.2">
      <c r="A227" s="12">
        <v>81</v>
      </c>
      <c r="B227" s="12">
        <f t="shared" si="194"/>
        <v>92</v>
      </c>
      <c r="E227" s="45"/>
    </row>
    <row r="228" spans="1:5" ht="13.35" customHeight="1" x14ac:dyDescent="0.2">
      <c r="A228" s="12">
        <v>82</v>
      </c>
      <c r="B228" s="12">
        <f t="shared" si="194"/>
        <v>93</v>
      </c>
      <c r="E228" s="45"/>
    </row>
    <row r="229" spans="1:5" ht="13.35" customHeight="1" x14ac:dyDescent="0.2">
      <c r="A229" s="12">
        <v>83</v>
      </c>
      <c r="B229" s="12">
        <f t="shared" si="194"/>
        <v>94</v>
      </c>
      <c r="E229" s="45"/>
    </row>
    <row r="230" spans="1:5" ht="13.35" customHeight="1" x14ac:dyDescent="0.2">
      <c r="A230" s="78">
        <v>84</v>
      </c>
      <c r="B230" s="78">
        <f t="shared" si="194"/>
        <v>95</v>
      </c>
      <c r="E230" s="45"/>
    </row>
    <row r="231" spans="1:5" ht="13.35" customHeight="1" x14ac:dyDescent="0.2">
      <c r="A231" s="12">
        <v>85</v>
      </c>
      <c r="B231" s="12">
        <f t="shared" ref="B231:B237" si="195">A231+6</f>
        <v>91</v>
      </c>
      <c r="E231" s="45"/>
    </row>
    <row r="232" spans="1:5" ht="13.35" customHeight="1" x14ac:dyDescent="0.2">
      <c r="A232" s="12">
        <v>86</v>
      </c>
      <c r="B232" s="12">
        <f t="shared" si="195"/>
        <v>92</v>
      </c>
      <c r="E232" s="45"/>
    </row>
    <row r="233" spans="1:5" ht="13.35" customHeight="1" x14ac:dyDescent="0.2">
      <c r="A233" s="12">
        <v>87</v>
      </c>
      <c r="B233" s="12">
        <f t="shared" si="195"/>
        <v>93</v>
      </c>
      <c r="E233" s="45"/>
    </row>
    <row r="234" spans="1:5" ht="13.35" customHeight="1" x14ac:dyDescent="0.2">
      <c r="A234" s="12">
        <v>88</v>
      </c>
      <c r="B234" s="12">
        <f t="shared" si="195"/>
        <v>94</v>
      </c>
      <c r="E234" s="45"/>
    </row>
    <row r="235" spans="1:5" ht="13.35" customHeight="1" x14ac:dyDescent="0.2">
      <c r="A235" s="12">
        <v>89</v>
      </c>
      <c r="B235" s="12">
        <f t="shared" si="195"/>
        <v>95</v>
      </c>
      <c r="E235" s="45"/>
    </row>
    <row r="236" spans="1:5" ht="13.35" customHeight="1" x14ac:dyDescent="0.2">
      <c r="A236" s="12">
        <v>90</v>
      </c>
      <c r="B236" s="12">
        <f t="shared" si="195"/>
        <v>96</v>
      </c>
      <c r="E236" s="45"/>
    </row>
    <row r="237" spans="1:5" ht="13.35" customHeight="1" x14ac:dyDescent="0.2">
      <c r="A237" s="12">
        <v>91</v>
      </c>
      <c r="B237" s="12">
        <f t="shared" si="195"/>
        <v>97</v>
      </c>
      <c r="E237" s="45"/>
    </row>
    <row r="238" spans="1:5" ht="13.35" customHeight="1" x14ac:dyDescent="0.2">
      <c r="A238" s="12">
        <v>92</v>
      </c>
      <c r="B238" s="12">
        <f>A238+5</f>
        <v>97</v>
      </c>
      <c r="E238" s="45"/>
    </row>
    <row r="239" spans="1:5" ht="13.35" customHeight="1" x14ac:dyDescent="0.2">
      <c r="A239" s="12">
        <v>93</v>
      </c>
      <c r="B239" s="12">
        <f>A239+4</f>
        <v>97</v>
      </c>
      <c r="E239" s="45"/>
    </row>
    <row r="240" spans="1:5" ht="13.35" customHeight="1" x14ac:dyDescent="0.2">
      <c r="A240" s="12">
        <v>94</v>
      </c>
      <c r="B240" s="12">
        <f>A240+4</f>
        <v>98</v>
      </c>
      <c r="E240" s="45"/>
    </row>
    <row r="241" spans="1:108" ht="13.35" customHeight="1" x14ac:dyDescent="0.2">
      <c r="A241" s="12">
        <v>95</v>
      </c>
      <c r="B241" s="12">
        <f>A241+3</f>
        <v>98</v>
      </c>
      <c r="E241" s="45"/>
    </row>
    <row r="242" spans="1:108" ht="13.35" customHeight="1" x14ac:dyDescent="0.2">
      <c r="A242" s="12">
        <v>96</v>
      </c>
      <c r="B242" s="12">
        <f>A242+3</f>
        <v>99</v>
      </c>
      <c r="E242" s="45"/>
    </row>
    <row r="243" spans="1:108" ht="13.35" customHeight="1" x14ac:dyDescent="0.2">
      <c r="A243" s="12">
        <v>97</v>
      </c>
      <c r="B243" s="12">
        <f>A243+2</f>
        <v>99</v>
      </c>
      <c r="E243" s="45"/>
    </row>
    <row r="244" spans="1:108" ht="13.35" customHeight="1" x14ac:dyDescent="0.2">
      <c r="A244" s="12">
        <v>98</v>
      </c>
      <c r="B244" s="12">
        <f>A244+2</f>
        <v>100</v>
      </c>
      <c r="E244" s="45"/>
    </row>
    <row r="245" spans="1:108" ht="13.35" customHeight="1" x14ac:dyDescent="0.2">
      <c r="A245" s="12">
        <v>99</v>
      </c>
      <c r="B245" s="12">
        <f>A245+1</f>
        <v>100</v>
      </c>
      <c r="E245" s="45"/>
    </row>
    <row r="246" spans="1:108" ht="13.35" customHeight="1" x14ac:dyDescent="0.2">
      <c r="A246" s="12">
        <v>100</v>
      </c>
      <c r="B246" s="12">
        <f>A246+1</f>
        <v>101</v>
      </c>
      <c r="E246" s="45"/>
    </row>
    <row r="247" spans="1:108" ht="13.35" customHeight="1" x14ac:dyDescent="0.2">
      <c r="A247" s="12">
        <v>101</v>
      </c>
      <c r="B247" s="12">
        <f>A247+1</f>
        <v>102</v>
      </c>
      <c r="E247" s="45"/>
    </row>
    <row r="248" spans="1:108" ht="13.35" customHeight="1" x14ac:dyDescent="0.2">
      <c r="A248" s="12">
        <v>102</v>
      </c>
      <c r="B248" s="12">
        <v>102</v>
      </c>
      <c r="E248" s="45"/>
    </row>
    <row r="249" spans="1:108" ht="13.35" customHeight="1" x14ac:dyDescent="0.2">
      <c r="E249" s="45"/>
    </row>
    <row r="250" spans="1:108" ht="13.35" customHeight="1" x14ac:dyDescent="0.2">
      <c r="E250" s="45"/>
    </row>
    <row r="251" spans="1:108" ht="13.35" customHeight="1" x14ac:dyDescent="0.2">
      <c r="A251" s="12" t="s">
        <v>1926</v>
      </c>
      <c r="E251" s="45" t="s">
        <v>1927</v>
      </c>
      <c r="F251" s="12">
        <v>29</v>
      </c>
      <c r="G251" s="12">
        <v>29</v>
      </c>
      <c r="H251" s="12">
        <v>29</v>
      </c>
      <c r="I251" s="12">
        <v>29</v>
      </c>
      <c r="J251" s="12">
        <v>29</v>
      </c>
      <c r="K251" s="12">
        <v>31</v>
      </c>
      <c r="L251" s="12">
        <v>31</v>
      </c>
      <c r="M251" s="12">
        <v>31</v>
      </c>
      <c r="N251" s="12">
        <v>31</v>
      </c>
      <c r="O251" s="12">
        <v>31</v>
      </c>
      <c r="P251" s="12">
        <v>31</v>
      </c>
      <c r="Q251" s="12">
        <v>31</v>
      </c>
      <c r="R251" s="12">
        <v>31</v>
      </c>
      <c r="S251" s="12">
        <v>31</v>
      </c>
      <c r="T251" s="12">
        <v>29</v>
      </c>
      <c r="U251" s="12">
        <v>29</v>
      </c>
      <c r="V251" s="12">
        <v>29</v>
      </c>
      <c r="W251" s="12">
        <v>29</v>
      </c>
      <c r="X251" s="12">
        <v>29</v>
      </c>
      <c r="Y251" s="12">
        <v>29</v>
      </c>
      <c r="AA251" s="12">
        <v>31</v>
      </c>
      <c r="AB251" s="12">
        <v>31</v>
      </c>
      <c r="AC251" s="12">
        <v>31</v>
      </c>
      <c r="AD251" s="12">
        <v>31</v>
      </c>
      <c r="AF251" s="12">
        <v>31</v>
      </c>
      <c r="AG251" s="12">
        <v>31</v>
      </c>
      <c r="AH251" s="12">
        <v>31</v>
      </c>
      <c r="AJ251" s="12">
        <v>29</v>
      </c>
      <c r="AK251" s="12">
        <v>29</v>
      </c>
      <c r="AL251" s="12">
        <v>31</v>
      </c>
      <c r="AM251" s="12">
        <v>31</v>
      </c>
      <c r="CX251" s="12">
        <v>31</v>
      </c>
      <c r="CY251" s="12">
        <v>31</v>
      </c>
      <c r="CZ251" s="12">
        <v>31</v>
      </c>
      <c r="DA251" s="12">
        <v>31</v>
      </c>
      <c r="DB251" s="12">
        <v>29</v>
      </c>
      <c r="DC251" s="12">
        <v>29</v>
      </c>
      <c r="DD251" s="12">
        <v>29</v>
      </c>
    </row>
    <row r="252" spans="1:108" ht="13.35" customHeight="1" x14ac:dyDescent="0.2">
      <c r="A252" s="12" t="s">
        <v>1928</v>
      </c>
      <c r="B252" s="12" t="s">
        <v>1929</v>
      </c>
      <c r="C252" s="58" t="s">
        <v>1930</v>
      </c>
      <c r="D252" s="58"/>
      <c r="E252" s="45" t="s">
        <v>379</v>
      </c>
      <c r="F252" s="12">
        <v>25</v>
      </c>
      <c r="G252" s="12">
        <v>25</v>
      </c>
      <c r="H252" s="12">
        <v>25</v>
      </c>
      <c r="I252" s="12">
        <v>25</v>
      </c>
      <c r="J252" s="12">
        <v>25</v>
      </c>
      <c r="K252" s="12">
        <v>28</v>
      </c>
      <c r="L252" s="12">
        <v>27</v>
      </c>
      <c r="M252" s="12">
        <v>26</v>
      </c>
      <c r="N252" s="12">
        <v>26</v>
      </c>
      <c r="O252" s="12">
        <v>25</v>
      </c>
      <c r="P252" s="12">
        <v>25</v>
      </c>
      <c r="Q252" s="12">
        <v>26</v>
      </c>
      <c r="R252" s="12">
        <v>23</v>
      </c>
      <c r="S252" s="12">
        <v>28</v>
      </c>
      <c r="T252" s="12">
        <v>26</v>
      </c>
      <c r="U252" s="12">
        <v>23</v>
      </c>
      <c r="V252" s="12">
        <v>25</v>
      </c>
      <c r="W252" s="12">
        <v>25</v>
      </c>
      <c r="X252" s="12">
        <v>20</v>
      </c>
      <c r="Y252" s="12">
        <v>20</v>
      </c>
      <c r="AA252" s="12">
        <v>30</v>
      </c>
      <c r="AB252" s="12">
        <v>30</v>
      </c>
      <c r="AC252" s="12">
        <v>29</v>
      </c>
      <c r="AD252" s="12">
        <v>29</v>
      </c>
      <c r="AJ252" s="12">
        <v>26</v>
      </c>
      <c r="AK252" s="12">
        <v>28</v>
      </c>
      <c r="AL252" s="12">
        <v>28</v>
      </c>
      <c r="AM252" s="12">
        <v>30</v>
      </c>
      <c r="AO252" s="12">
        <v>31</v>
      </c>
      <c r="AP252" s="12">
        <v>29</v>
      </c>
      <c r="AQ252" s="12">
        <v>26</v>
      </c>
      <c r="AS252" s="12">
        <v>30</v>
      </c>
      <c r="AT252" s="12">
        <v>30</v>
      </c>
      <c r="AU252" s="12">
        <v>30</v>
      </c>
      <c r="AV252" s="12">
        <v>30</v>
      </c>
      <c r="AW252" s="12">
        <v>30</v>
      </c>
      <c r="AY252" s="12">
        <v>30</v>
      </c>
      <c r="BB252" s="12">
        <v>30</v>
      </c>
      <c r="BC252" s="12">
        <v>30</v>
      </c>
      <c r="BD252" s="12">
        <v>30</v>
      </c>
      <c r="BF252" s="12">
        <v>30</v>
      </c>
      <c r="BG252" s="12">
        <v>30</v>
      </c>
      <c r="BH252" s="12">
        <v>30</v>
      </c>
      <c r="BI252" s="12">
        <v>30</v>
      </c>
      <c r="BJ252" s="12">
        <v>30</v>
      </c>
      <c r="BL252" s="12">
        <v>30</v>
      </c>
      <c r="BM252" s="12">
        <v>30</v>
      </c>
      <c r="BN252" s="12">
        <v>30</v>
      </c>
      <c r="BO252" s="12">
        <v>30</v>
      </c>
      <c r="BQ252" s="12">
        <v>30</v>
      </c>
      <c r="BR252" s="12">
        <v>30</v>
      </c>
      <c r="BS252" s="12">
        <v>30</v>
      </c>
      <c r="BU252" s="12">
        <v>30</v>
      </c>
      <c r="BV252" s="12">
        <v>30</v>
      </c>
      <c r="BW252" s="12">
        <v>30</v>
      </c>
      <c r="BX252" s="12">
        <v>30</v>
      </c>
      <c r="BY252" s="12">
        <v>30</v>
      </c>
      <c r="BZ252" s="12">
        <v>30</v>
      </c>
      <c r="CA252" s="12">
        <v>30</v>
      </c>
      <c r="CB252" s="12">
        <v>30</v>
      </c>
      <c r="CI252" s="12">
        <v>30</v>
      </c>
      <c r="CJ252" s="12">
        <v>30</v>
      </c>
      <c r="CK252" s="12">
        <v>30</v>
      </c>
      <c r="CO252" s="12">
        <v>30</v>
      </c>
      <c r="DB252" s="12">
        <v>27</v>
      </c>
      <c r="DC252" s="12">
        <v>28</v>
      </c>
      <c r="DD252" s="12">
        <v>28</v>
      </c>
    </row>
    <row r="253" spans="1:108" ht="13.35" customHeight="1" x14ac:dyDescent="0.2">
      <c r="A253" s="12" t="s">
        <v>1931</v>
      </c>
      <c r="B253" s="12" t="s">
        <v>1932</v>
      </c>
      <c r="C253" s="58" t="s">
        <v>1933</v>
      </c>
      <c r="D253" s="58" t="s">
        <v>1934</v>
      </c>
      <c r="E253" s="45"/>
    </row>
    <row r="254" spans="1:108" ht="13.35" customHeight="1" x14ac:dyDescent="0.2">
      <c r="A254" s="12" t="s">
        <v>1935</v>
      </c>
      <c r="B254" s="12" t="s">
        <v>1936</v>
      </c>
      <c r="C254" s="58" t="s">
        <v>1937</v>
      </c>
      <c r="D254" s="58" t="s">
        <v>1938</v>
      </c>
    </row>
    <row r="255" spans="1:108" ht="13.35" customHeight="1" x14ac:dyDescent="0.2">
      <c r="A255" s="12" t="s">
        <v>1939</v>
      </c>
      <c r="B255" s="12" t="s">
        <v>1940</v>
      </c>
      <c r="C255" s="58" t="s">
        <v>1941</v>
      </c>
      <c r="D255" s="58" t="s">
        <v>1942</v>
      </c>
    </row>
    <row r="256" spans="1:108" ht="13.35" customHeight="1" x14ac:dyDescent="0.2">
      <c r="A256" s="12" t="s">
        <v>1943</v>
      </c>
      <c r="B256" s="12" t="s">
        <v>1944</v>
      </c>
      <c r="C256" s="58" t="s">
        <v>1945</v>
      </c>
      <c r="D256" s="58" t="s">
        <v>1946</v>
      </c>
      <c r="F256" s="12">
        <v>2</v>
      </c>
      <c r="G256" s="12">
        <v>3</v>
      </c>
      <c r="H256" s="12">
        <v>4</v>
      </c>
      <c r="I256" s="12">
        <v>5</v>
      </c>
      <c r="J256" s="12">
        <v>6</v>
      </c>
      <c r="K256" s="12">
        <v>7</v>
      </c>
      <c r="L256" s="12">
        <v>8</v>
      </c>
      <c r="M256" s="12">
        <v>9</v>
      </c>
      <c r="N256" s="12">
        <v>10</v>
      </c>
      <c r="O256" s="12">
        <v>11</v>
      </c>
      <c r="P256" s="12">
        <v>12</v>
      </c>
      <c r="Q256" s="12">
        <v>13</v>
      </c>
      <c r="R256" s="12">
        <v>14</v>
      </c>
      <c r="S256" s="12">
        <v>15</v>
      </c>
      <c r="T256" s="12">
        <v>16</v>
      </c>
      <c r="U256" s="12">
        <v>17</v>
      </c>
      <c r="V256" s="12">
        <v>18</v>
      </c>
      <c r="W256" s="12">
        <v>19</v>
      </c>
      <c r="X256" s="12">
        <v>20</v>
      </c>
      <c r="Y256" s="12">
        <v>21</v>
      </c>
      <c r="Z256" s="12">
        <v>22</v>
      </c>
      <c r="AA256" s="12">
        <v>23</v>
      </c>
      <c r="AB256" s="12">
        <v>24</v>
      </c>
      <c r="AC256" s="12">
        <v>25</v>
      </c>
      <c r="AD256" s="12">
        <v>26</v>
      </c>
      <c r="AE256" s="12">
        <v>27</v>
      </c>
      <c r="AF256" s="12">
        <v>28</v>
      </c>
      <c r="AG256" s="12">
        <v>29</v>
      </c>
      <c r="AH256" s="12">
        <v>30</v>
      </c>
      <c r="AI256" s="12">
        <v>31</v>
      </c>
      <c r="AJ256" s="12">
        <v>32</v>
      </c>
      <c r="AK256" s="12">
        <v>33</v>
      </c>
      <c r="AL256" s="12">
        <v>34</v>
      </c>
      <c r="AM256" s="12">
        <v>35</v>
      </c>
      <c r="AN256" s="12">
        <v>36</v>
      </c>
      <c r="AO256" s="12">
        <v>37</v>
      </c>
      <c r="AP256" s="12">
        <v>38</v>
      </c>
      <c r="AQ256" s="12">
        <v>39</v>
      </c>
      <c r="AR256" s="12">
        <v>40</v>
      </c>
      <c r="AS256" s="12">
        <v>41</v>
      </c>
      <c r="AT256" s="12">
        <v>42</v>
      </c>
      <c r="AU256" s="12">
        <v>43</v>
      </c>
      <c r="AV256" s="12">
        <v>44</v>
      </c>
      <c r="AW256" s="12">
        <v>45</v>
      </c>
    </row>
    <row r="257" spans="1:49" ht="13.35" customHeight="1" x14ac:dyDescent="0.2">
      <c r="A257" s="12" t="s">
        <v>1947</v>
      </c>
      <c r="B257" s="12" t="s">
        <v>199</v>
      </c>
      <c r="C257" s="58" t="s">
        <v>1948</v>
      </c>
      <c r="D257" s="58" t="s">
        <v>1949</v>
      </c>
      <c r="E257" s="59" t="s">
        <v>1950</v>
      </c>
      <c r="F257" s="12" t="s">
        <v>1951</v>
      </c>
      <c r="G257" s="12" t="s">
        <v>1952</v>
      </c>
      <c r="H257" s="12" t="s">
        <v>1953</v>
      </c>
      <c r="I257" s="12" t="s">
        <v>1954</v>
      </c>
      <c r="J257" s="12" t="s">
        <v>1955</v>
      </c>
      <c r="K257" s="12" t="s">
        <v>1956</v>
      </c>
      <c r="L257" s="12" t="s">
        <v>1957</v>
      </c>
      <c r="M257" s="12" t="s">
        <v>1958</v>
      </c>
      <c r="N257" s="12" t="s">
        <v>1959</v>
      </c>
      <c r="O257" s="12" t="s">
        <v>1960</v>
      </c>
      <c r="P257" s="12" t="s">
        <v>1961</v>
      </c>
      <c r="Q257" s="12" t="s">
        <v>1962</v>
      </c>
      <c r="R257" s="12" t="s">
        <v>1963</v>
      </c>
      <c r="S257" s="12" t="s">
        <v>1964</v>
      </c>
      <c r="T257" s="12" t="s">
        <v>1965</v>
      </c>
      <c r="U257" s="12" t="s">
        <v>1966</v>
      </c>
      <c r="V257" s="12" t="s">
        <v>1967</v>
      </c>
      <c r="W257" s="12" t="s">
        <v>1968</v>
      </c>
      <c r="X257" s="12" t="s">
        <v>1969</v>
      </c>
      <c r="Y257" s="12" t="s">
        <v>1970</v>
      </c>
      <c r="Z257" s="12" t="s">
        <v>1970</v>
      </c>
      <c r="AA257" s="12" t="s">
        <v>1970</v>
      </c>
      <c r="AB257" s="12" t="s">
        <v>1970</v>
      </c>
      <c r="AC257" s="12" t="s">
        <v>1970</v>
      </c>
      <c r="AD257" s="12" t="s">
        <v>1970</v>
      </c>
      <c r="AE257" s="12" t="s">
        <v>1970</v>
      </c>
      <c r="AF257" s="12" t="s">
        <v>1970</v>
      </c>
      <c r="AG257" s="12" t="s">
        <v>1970</v>
      </c>
      <c r="AH257" s="12" t="s">
        <v>1970</v>
      </c>
      <c r="AI257" s="12" t="s">
        <v>1970</v>
      </c>
      <c r="AJ257" s="12" t="s">
        <v>1970</v>
      </c>
      <c r="AK257" s="12" t="s">
        <v>1970</v>
      </c>
      <c r="AL257" s="12" t="s">
        <v>1970</v>
      </c>
      <c r="AM257" s="12" t="s">
        <v>1970</v>
      </c>
      <c r="AN257" s="12" t="s">
        <v>1970</v>
      </c>
      <c r="AO257" s="12" t="s">
        <v>1970</v>
      </c>
      <c r="AP257" s="12" t="s">
        <v>1970</v>
      </c>
      <c r="AQ257" s="12" t="s">
        <v>1970</v>
      </c>
      <c r="AR257" s="12" t="s">
        <v>1970</v>
      </c>
      <c r="AU257" s="12" t="s">
        <v>1971</v>
      </c>
      <c r="AV257" s="12" t="s">
        <v>449</v>
      </c>
      <c r="AW257" s="12" t="s">
        <v>451</v>
      </c>
    </row>
    <row r="258" spans="1:49" ht="13.35" customHeight="1" x14ac:dyDescent="0.2">
      <c r="A258" s="12" t="s">
        <v>1972</v>
      </c>
      <c r="B258" s="12" t="s">
        <v>1973</v>
      </c>
      <c r="C258" s="58" t="s">
        <v>1974</v>
      </c>
      <c r="D258" s="58" t="s">
        <v>1975</v>
      </c>
      <c r="E258" s="59" t="s">
        <v>1976</v>
      </c>
    </row>
    <row r="259" spans="1:49" ht="13.35" customHeight="1" x14ac:dyDescent="0.2">
      <c r="A259" s="12" t="s">
        <v>1977</v>
      </c>
      <c r="B259" s="12" t="s">
        <v>1978</v>
      </c>
      <c r="C259" s="58" t="s">
        <v>1979</v>
      </c>
      <c r="D259" s="58" t="s">
        <v>1980</v>
      </c>
      <c r="E259" s="59" t="s">
        <v>378</v>
      </c>
      <c r="F259" s="12">
        <v>24</v>
      </c>
      <c r="G259" s="12" t="s">
        <v>1981</v>
      </c>
      <c r="H259" s="12" t="s">
        <v>1982</v>
      </c>
      <c r="I259" s="12" t="s">
        <v>1983</v>
      </c>
      <c r="J259" s="12" t="s">
        <v>1984</v>
      </c>
      <c r="K259" s="12" t="s">
        <v>1985</v>
      </c>
      <c r="L259" s="12" t="s">
        <v>1986</v>
      </c>
      <c r="Y259" s="12" t="s">
        <v>1987</v>
      </c>
      <c r="Z259" s="12" t="s">
        <v>1988</v>
      </c>
      <c r="AA259" s="12" t="s">
        <v>1989</v>
      </c>
      <c r="AB259" s="12" t="s">
        <v>1990</v>
      </c>
      <c r="AC259" s="12" t="s">
        <v>1991</v>
      </c>
      <c r="AD259" s="12" t="s">
        <v>1992</v>
      </c>
      <c r="AE259" s="12" t="s">
        <v>1993</v>
      </c>
      <c r="AF259" s="12" t="s">
        <v>1994</v>
      </c>
      <c r="AG259" s="12" t="s">
        <v>1995</v>
      </c>
      <c r="AH259" s="12" t="s">
        <v>1996</v>
      </c>
      <c r="AI259" s="12" t="s">
        <v>1997</v>
      </c>
      <c r="AJ259" s="12" t="s">
        <v>1998</v>
      </c>
      <c r="AK259" s="12" t="s">
        <v>1999</v>
      </c>
      <c r="AL259" s="12" t="s">
        <v>2000</v>
      </c>
      <c r="AM259" s="12" t="s">
        <v>2001</v>
      </c>
      <c r="AN259" s="12" t="s">
        <v>2002</v>
      </c>
      <c r="AU259" s="12" t="s">
        <v>246</v>
      </c>
      <c r="AV259" s="12" t="s">
        <v>246</v>
      </c>
      <c r="AW259" s="12" t="s">
        <v>2003</v>
      </c>
    </row>
    <row r="260" spans="1:49" ht="13.35" customHeight="1" x14ac:dyDescent="0.2">
      <c r="A260" s="12" t="s">
        <v>2004</v>
      </c>
      <c r="B260" s="12" t="s">
        <v>2005</v>
      </c>
      <c r="C260" s="58" t="s">
        <v>2006</v>
      </c>
      <c r="D260" s="58" t="s">
        <v>2007</v>
      </c>
      <c r="E260" s="59" t="s">
        <v>2008</v>
      </c>
      <c r="F260" s="12">
        <v>70</v>
      </c>
      <c r="G260" s="12" t="s">
        <v>204</v>
      </c>
      <c r="H260" s="12" t="s">
        <v>2009</v>
      </c>
      <c r="I260" s="12" t="s">
        <v>2010</v>
      </c>
      <c r="J260" s="12" t="s">
        <v>2011</v>
      </c>
      <c r="K260" s="12" t="s">
        <v>2012</v>
      </c>
      <c r="L260" s="12" t="s">
        <v>2013</v>
      </c>
      <c r="Y260" s="12" t="s">
        <v>2014</v>
      </c>
      <c r="Z260" s="12" t="s">
        <v>2015</v>
      </c>
      <c r="AA260" s="12" t="s">
        <v>2016</v>
      </c>
      <c r="AB260" s="12" t="s">
        <v>2017</v>
      </c>
      <c r="AC260" s="12" t="s">
        <v>2018</v>
      </c>
      <c r="AD260" s="12" t="s">
        <v>2000</v>
      </c>
      <c r="AE260" s="12" t="s">
        <v>2019</v>
      </c>
      <c r="AF260" s="12" t="s">
        <v>2020</v>
      </c>
      <c r="AG260" s="12" t="s">
        <v>2021</v>
      </c>
      <c r="AH260" s="12" t="s">
        <v>2022</v>
      </c>
      <c r="AU260" s="12" t="s">
        <v>2023</v>
      </c>
      <c r="AV260" s="12" t="s">
        <v>2024</v>
      </c>
      <c r="AW260" s="12" t="s">
        <v>2025</v>
      </c>
    </row>
    <row r="261" spans="1:49" ht="13.35" customHeight="1" x14ac:dyDescent="0.2">
      <c r="E261" s="59" t="s">
        <v>2026</v>
      </c>
      <c r="F261" s="12">
        <v>102</v>
      </c>
      <c r="G261" s="12" t="s">
        <v>204</v>
      </c>
      <c r="H261" s="12" t="s">
        <v>2027</v>
      </c>
      <c r="I261" s="12" t="s">
        <v>2028</v>
      </c>
      <c r="J261" s="12" t="s">
        <v>2029</v>
      </c>
      <c r="K261" s="12" t="s">
        <v>2030</v>
      </c>
      <c r="L261" s="12" t="s">
        <v>2031</v>
      </c>
      <c r="M261" s="12" t="s">
        <v>2032</v>
      </c>
      <c r="N261" s="12" t="s">
        <v>2033</v>
      </c>
      <c r="O261" s="12" t="s">
        <v>2034</v>
      </c>
      <c r="Y261" s="12" t="s">
        <v>2035</v>
      </c>
      <c r="Z261" s="12" t="s">
        <v>2036</v>
      </c>
      <c r="AA261" s="12" t="s">
        <v>2037</v>
      </c>
      <c r="AB261" s="12" t="s">
        <v>2038</v>
      </c>
      <c r="AC261" s="12" t="s">
        <v>2039</v>
      </c>
      <c r="AD261" s="12" t="s">
        <v>2040</v>
      </c>
      <c r="AE261" s="12" t="s">
        <v>2041</v>
      </c>
      <c r="AF261" s="12" t="s">
        <v>2042</v>
      </c>
      <c r="AG261" s="12" t="s">
        <v>1997</v>
      </c>
      <c r="AH261" s="12" t="s">
        <v>2043</v>
      </c>
      <c r="AI261" s="12" t="s">
        <v>2044</v>
      </c>
      <c r="AJ261" s="12" t="s">
        <v>2045</v>
      </c>
      <c r="AK261" s="12" t="s">
        <v>2046</v>
      </c>
      <c r="AL261" s="12" t="s">
        <v>2047</v>
      </c>
      <c r="AU261" s="12" t="s">
        <v>246</v>
      </c>
      <c r="AV261" s="12" t="s">
        <v>246</v>
      </c>
      <c r="AW261" s="12" t="s">
        <v>231</v>
      </c>
    </row>
    <row r="262" spans="1:49" ht="13.35" customHeight="1" x14ac:dyDescent="0.2">
      <c r="A262" s="79" t="s">
        <v>4246</v>
      </c>
      <c r="B262" s="74"/>
      <c r="E262" s="59" t="s">
        <v>2048</v>
      </c>
      <c r="F262" s="12">
        <v>37</v>
      </c>
      <c r="G262" s="12" t="s">
        <v>204</v>
      </c>
      <c r="H262" s="12" t="s">
        <v>2049</v>
      </c>
      <c r="I262" s="12" t="s">
        <v>2050</v>
      </c>
      <c r="J262" s="12" t="s">
        <v>2051</v>
      </c>
      <c r="K262" s="12" t="s">
        <v>2052</v>
      </c>
      <c r="L262" s="12" t="s">
        <v>2053</v>
      </c>
      <c r="M262" s="12" t="s">
        <v>2054</v>
      </c>
      <c r="N262" s="12" t="s">
        <v>2055</v>
      </c>
      <c r="O262" s="12" t="s">
        <v>2056</v>
      </c>
      <c r="P262" s="12" t="s">
        <v>2057</v>
      </c>
      <c r="Q262" s="12" t="s">
        <v>2058</v>
      </c>
      <c r="R262" s="12" t="s">
        <v>2059</v>
      </c>
      <c r="S262" s="12" t="s">
        <v>2060</v>
      </c>
      <c r="T262" s="12" t="s">
        <v>2061</v>
      </c>
      <c r="U262" s="12" t="s">
        <v>2062</v>
      </c>
      <c r="Y262" s="12" t="s">
        <v>2063</v>
      </c>
      <c r="Z262" s="12" t="s">
        <v>2064</v>
      </c>
      <c r="AA262" s="12" t="s">
        <v>2065</v>
      </c>
      <c r="AB262" s="12" t="s">
        <v>2066</v>
      </c>
      <c r="AC262" s="12" t="s">
        <v>2067</v>
      </c>
      <c r="AD262" s="12" t="s">
        <v>2068</v>
      </c>
      <c r="AE262" s="12" t="s">
        <v>2069</v>
      </c>
      <c r="AF262" s="12" t="s">
        <v>2070</v>
      </c>
      <c r="AG262" s="12" t="s">
        <v>2071</v>
      </c>
      <c r="AU262" s="12" t="s">
        <v>2072</v>
      </c>
      <c r="AV262" s="12" t="s">
        <v>1154</v>
      </c>
      <c r="AW262" s="12" t="s">
        <v>246</v>
      </c>
    </row>
    <row r="263" spans="1:49" ht="13.35" customHeight="1" x14ac:dyDescent="0.2">
      <c r="A263" s="80" t="s">
        <v>4050</v>
      </c>
      <c r="B263" s="81" t="s">
        <v>4204</v>
      </c>
      <c r="E263" s="59" t="s">
        <v>2073</v>
      </c>
      <c r="F263" s="12">
        <v>164</v>
      </c>
      <c r="G263" s="12" t="s">
        <v>204</v>
      </c>
      <c r="H263" s="12" t="s">
        <v>2074</v>
      </c>
      <c r="I263" s="12" t="s">
        <v>2075</v>
      </c>
      <c r="J263" s="12" t="s">
        <v>2076</v>
      </c>
      <c r="K263" s="12" t="s">
        <v>2077</v>
      </c>
      <c r="L263" s="12" t="s">
        <v>2078</v>
      </c>
      <c r="M263" s="12" t="s">
        <v>2079</v>
      </c>
      <c r="N263" s="12" t="s">
        <v>2080</v>
      </c>
      <c r="Y263" s="12" t="s">
        <v>2081</v>
      </c>
      <c r="Z263" s="12" t="s">
        <v>2082</v>
      </c>
      <c r="AA263" s="12" t="s">
        <v>2083</v>
      </c>
      <c r="AB263" s="12" t="s">
        <v>2084</v>
      </c>
      <c r="AC263" s="12" t="s">
        <v>2085</v>
      </c>
      <c r="AD263" s="12" t="s">
        <v>2086</v>
      </c>
      <c r="AE263" s="12" t="s">
        <v>2016</v>
      </c>
      <c r="AF263" s="12" t="s">
        <v>2087</v>
      </c>
      <c r="AG263" s="12" t="s">
        <v>2088</v>
      </c>
      <c r="AH263" s="12" t="s">
        <v>2089</v>
      </c>
      <c r="AI263" s="12" t="s">
        <v>2090</v>
      </c>
      <c r="AJ263" s="12" t="s">
        <v>2091</v>
      </c>
      <c r="AK263" s="12" t="s">
        <v>2092</v>
      </c>
      <c r="AL263" s="12" t="s">
        <v>2093</v>
      </c>
      <c r="AM263" s="12" t="s">
        <v>2094</v>
      </c>
      <c r="AU263" s="12" t="s">
        <v>246</v>
      </c>
      <c r="AV263" s="12" t="s">
        <v>2095</v>
      </c>
      <c r="AW263" s="12" t="s">
        <v>246</v>
      </c>
    </row>
    <row r="264" spans="1:49" ht="13.35" customHeight="1" x14ac:dyDescent="0.2">
      <c r="A264" s="80" t="s">
        <v>4247</v>
      </c>
      <c r="B264" s="81" t="s">
        <v>4205</v>
      </c>
      <c r="E264" s="59" t="s">
        <v>2096</v>
      </c>
      <c r="F264" s="12">
        <v>30</v>
      </c>
      <c r="G264" s="12" t="s">
        <v>1981</v>
      </c>
      <c r="H264" s="12" t="s">
        <v>2097</v>
      </c>
      <c r="I264" s="12" t="s">
        <v>2098</v>
      </c>
      <c r="J264" s="12" t="s">
        <v>2099</v>
      </c>
      <c r="K264" s="12" t="s">
        <v>2100</v>
      </c>
      <c r="L264" s="12" t="s">
        <v>2101</v>
      </c>
      <c r="M264" s="12" t="s">
        <v>2101</v>
      </c>
      <c r="N264" s="12" t="s">
        <v>2101</v>
      </c>
      <c r="O264" s="12" t="s">
        <v>2101</v>
      </c>
      <c r="P264" s="12" t="s">
        <v>2102</v>
      </c>
      <c r="Y264" s="12" t="s">
        <v>2045</v>
      </c>
      <c r="Z264" s="12" t="s">
        <v>2036</v>
      </c>
      <c r="AA264" s="12" t="s">
        <v>2103</v>
      </c>
      <c r="AB264" s="12" t="s">
        <v>2017</v>
      </c>
      <c r="AC264" s="12" t="s">
        <v>1989</v>
      </c>
      <c r="AD264" s="12" t="s">
        <v>1990</v>
      </c>
      <c r="AE264" s="12" t="s">
        <v>2104</v>
      </c>
      <c r="AF264" s="12" t="s">
        <v>2105</v>
      </c>
      <c r="AG264" s="12" t="s">
        <v>2106</v>
      </c>
      <c r="AH264" s="12" t="s">
        <v>2107</v>
      </c>
      <c r="AI264" s="12" t="s">
        <v>2108</v>
      </c>
      <c r="AJ264" s="12" t="s">
        <v>2015</v>
      </c>
      <c r="AU264" s="12" t="s">
        <v>246</v>
      </c>
      <c r="AV264" s="12" t="s">
        <v>246</v>
      </c>
      <c r="AW264" s="12" t="s">
        <v>246</v>
      </c>
    </row>
    <row r="265" spans="1:49" ht="13.35" customHeight="1" x14ac:dyDescent="0.2">
      <c r="A265" s="80" t="s">
        <v>4064</v>
      </c>
      <c r="B265" s="81" t="s">
        <v>4206</v>
      </c>
      <c r="E265" s="59" t="s">
        <v>2109</v>
      </c>
      <c r="F265" s="12">
        <v>64</v>
      </c>
      <c r="G265" s="12" t="s">
        <v>204</v>
      </c>
      <c r="H265" s="12" t="s">
        <v>2097</v>
      </c>
      <c r="I265" s="12" t="s">
        <v>2110</v>
      </c>
      <c r="J265" s="12" t="s">
        <v>2111</v>
      </c>
      <c r="Y265" s="12" t="s">
        <v>2112</v>
      </c>
      <c r="Z265" s="12" t="s">
        <v>2113</v>
      </c>
      <c r="AA265" s="12" t="s">
        <v>2114</v>
      </c>
      <c r="AB265" s="12" t="s">
        <v>2115</v>
      </c>
      <c r="AC265" s="12" t="s">
        <v>2116</v>
      </c>
      <c r="AD265" s="12" t="s">
        <v>2117</v>
      </c>
      <c r="AE265" s="12" t="s">
        <v>1987</v>
      </c>
      <c r="AF265" s="12" t="s">
        <v>1988</v>
      </c>
      <c r="AU265" s="12" t="s">
        <v>246</v>
      </c>
      <c r="AV265" s="12" t="s">
        <v>246</v>
      </c>
      <c r="AW265" s="12" t="s">
        <v>2118</v>
      </c>
    </row>
    <row r="266" spans="1:49" ht="13.35" customHeight="1" x14ac:dyDescent="0.2">
      <c r="A266" s="80" t="s">
        <v>4056</v>
      </c>
      <c r="B266" s="81" t="s">
        <v>4207</v>
      </c>
      <c r="E266" s="59" t="s">
        <v>2119</v>
      </c>
      <c r="F266" s="12">
        <v>33</v>
      </c>
      <c r="G266" s="12" t="s">
        <v>1981</v>
      </c>
      <c r="H266" s="12" t="s">
        <v>2120</v>
      </c>
      <c r="I266" s="12" t="s">
        <v>2121</v>
      </c>
      <c r="J266" s="12" t="s">
        <v>2122</v>
      </c>
      <c r="K266" s="12" t="s">
        <v>2123</v>
      </c>
      <c r="L266" s="12" t="s">
        <v>2124</v>
      </c>
      <c r="M266" s="12" t="s">
        <v>2125</v>
      </c>
      <c r="N266" s="12" t="s">
        <v>2126</v>
      </c>
      <c r="Y266" s="12" t="s">
        <v>2127</v>
      </c>
      <c r="AA266" s="12" t="s">
        <v>2128</v>
      </c>
      <c r="AB266" s="12" t="s">
        <v>1991</v>
      </c>
      <c r="AC266" s="12" t="s">
        <v>1992</v>
      </c>
      <c r="AD266" s="12" t="s">
        <v>2107</v>
      </c>
      <c r="AE266" s="12" t="s">
        <v>1989</v>
      </c>
      <c r="AF266" s="12" t="s">
        <v>2129</v>
      </c>
      <c r="AG266" s="12" t="s">
        <v>2130</v>
      </c>
      <c r="AH266" s="12" t="s">
        <v>2131</v>
      </c>
      <c r="AI266" s="12" t="s">
        <v>2132</v>
      </c>
      <c r="AJ266" s="12" t="s">
        <v>2133</v>
      </c>
      <c r="AK266" s="12" t="s">
        <v>2134</v>
      </c>
      <c r="AU266" s="12" t="s">
        <v>246</v>
      </c>
      <c r="AV266" s="12" t="s">
        <v>246</v>
      </c>
      <c r="AW266" s="12" t="s">
        <v>246</v>
      </c>
    </row>
    <row r="267" spans="1:49" ht="13.35" customHeight="1" x14ac:dyDescent="0.2">
      <c r="A267" s="80" t="s">
        <v>4057</v>
      </c>
      <c r="B267" s="81" t="s">
        <v>4208</v>
      </c>
      <c r="E267" s="59" t="s">
        <v>2135</v>
      </c>
      <c r="F267" s="12">
        <v>25</v>
      </c>
      <c r="G267" s="12" t="s">
        <v>1981</v>
      </c>
      <c r="H267" s="12" t="s">
        <v>2136</v>
      </c>
      <c r="I267" s="12" t="s">
        <v>2137</v>
      </c>
      <c r="J267" s="12" t="s">
        <v>2138</v>
      </c>
      <c r="K267" s="12" t="s">
        <v>2139</v>
      </c>
      <c r="L267" s="12" t="s">
        <v>2140</v>
      </c>
      <c r="M267" s="12" t="s">
        <v>2141</v>
      </c>
      <c r="N267" s="12" t="s">
        <v>2142</v>
      </c>
      <c r="Y267" s="12" t="s">
        <v>2143</v>
      </c>
      <c r="Z267" s="12" t="s">
        <v>2015</v>
      </c>
      <c r="AA267" s="12" t="s">
        <v>1987</v>
      </c>
      <c r="AB267" s="12" t="s">
        <v>1988</v>
      </c>
      <c r="AC267" s="12" t="s">
        <v>2144</v>
      </c>
      <c r="AD267" s="12" t="s">
        <v>2145</v>
      </c>
      <c r="AE267" s="12" t="s">
        <v>2146</v>
      </c>
      <c r="AF267" s="12" t="s">
        <v>1998</v>
      </c>
      <c r="AG267" s="12" t="s">
        <v>2085</v>
      </c>
      <c r="AH267" s="12" t="s">
        <v>2132</v>
      </c>
      <c r="AI267" s="12" t="s">
        <v>2147</v>
      </c>
      <c r="AJ267" s="12" t="s">
        <v>2002</v>
      </c>
      <c r="AU267" s="12" t="s">
        <v>246</v>
      </c>
      <c r="AV267" s="12" t="s">
        <v>246</v>
      </c>
      <c r="AW267" s="12" t="s">
        <v>246</v>
      </c>
    </row>
    <row r="268" spans="1:49" ht="13.35" customHeight="1" x14ac:dyDescent="0.2">
      <c r="A268" s="80" t="s">
        <v>894</v>
      </c>
      <c r="B268" s="81" t="s">
        <v>4209</v>
      </c>
      <c r="E268" s="59" t="s">
        <v>2148</v>
      </c>
      <c r="F268" s="12">
        <v>95</v>
      </c>
      <c r="G268" s="12" t="s">
        <v>204</v>
      </c>
      <c r="H268" s="12" t="s">
        <v>2149</v>
      </c>
      <c r="I268" s="12" t="s">
        <v>2150</v>
      </c>
      <c r="J268" s="12" t="s">
        <v>2150</v>
      </c>
      <c r="K268" s="12" t="s">
        <v>2150</v>
      </c>
      <c r="L268" s="12" t="s">
        <v>2150</v>
      </c>
      <c r="M268" s="12" t="s">
        <v>2150</v>
      </c>
      <c r="N268" s="12" t="s">
        <v>2151</v>
      </c>
      <c r="Y268" s="12" t="s">
        <v>2039</v>
      </c>
      <c r="Z268" s="12" t="s">
        <v>2152</v>
      </c>
      <c r="AA268" s="12" t="s">
        <v>2153</v>
      </c>
      <c r="AB268" s="12" t="s">
        <v>2154</v>
      </c>
      <c r="AC268" s="12" t="s">
        <v>2155</v>
      </c>
      <c r="AD268" s="12" t="s">
        <v>2107</v>
      </c>
      <c r="AE268" s="12" t="s">
        <v>2156</v>
      </c>
      <c r="AF268" s="12" t="s">
        <v>2157</v>
      </c>
      <c r="AG268" s="12" t="s">
        <v>2107</v>
      </c>
      <c r="AH268" s="12" t="s">
        <v>2158</v>
      </c>
      <c r="AI268" s="12" t="s">
        <v>2159</v>
      </c>
      <c r="AU268" s="12" t="s">
        <v>246</v>
      </c>
      <c r="AV268" s="12" t="s">
        <v>246</v>
      </c>
      <c r="AW268" s="12" t="s">
        <v>246</v>
      </c>
    </row>
    <row r="269" spans="1:49" ht="13.35" customHeight="1" x14ac:dyDescent="0.2">
      <c r="A269" s="80" t="s">
        <v>4063</v>
      </c>
      <c r="B269" s="81" t="s">
        <v>4210</v>
      </c>
      <c r="E269" s="59" t="s">
        <v>2160</v>
      </c>
      <c r="F269" s="12">
        <v>32</v>
      </c>
      <c r="G269" s="12" t="s">
        <v>1981</v>
      </c>
      <c r="H269" s="12" t="s">
        <v>2161</v>
      </c>
      <c r="I269" s="12" t="s">
        <v>2162</v>
      </c>
      <c r="J269" s="12" t="s">
        <v>2163</v>
      </c>
      <c r="K269" s="12" t="s">
        <v>2164</v>
      </c>
      <c r="L269" s="12" t="s">
        <v>2165</v>
      </c>
      <c r="Y269" s="12" t="s">
        <v>2146</v>
      </c>
      <c r="Z269" s="12" t="s">
        <v>2166</v>
      </c>
      <c r="AA269" s="12" t="s">
        <v>2167</v>
      </c>
      <c r="AB269" s="12" t="s">
        <v>2168</v>
      </c>
      <c r="AC269" s="12" t="s">
        <v>2107</v>
      </c>
      <c r="AD269" s="12" t="s">
        <v>2045</v>
      </c>
      <c r="AE269" s="12" t="s">
        <v>2128</v>
      </c>
      <c r="AF269" s="12" t="s">
        <v>2147</v>
      </c>
      <c r="AG269" s="12" t="s">
        <v>2169</v>
      </c>
      <c r="AH269" s="12" t="s">
        <v>2170</v>
      </c>
      <c r="AI269" s="12" t="s">
        <v>2107</v>
      </c>
      <c r="AU269" s="12" t="s">
        <v>246</v>
      </c>
      <c r="AV269" s="12" t="s">
        <v>246</v>
      </c>
      <c r="AW269" s="12" t="s">
        <v>246</v>
      </c>
    </row>
    <row r="270" spans="1:49" ht="13.35" customHeight="1" x14ac:dyDescent="0.2">
      <c r="A270" s="80" t="s">
        <v>4052</v>
      </c>
      <c r="B270" s="81" t="s">
        <v>4211</v>
      </c>
      <c r="E270" s="59" t="s">
        <v>2171</v>
      </c>
      <c r="F270" s="12">
        <v>84</v>
      </c>
      <c r="G270" s="12" t="s">
        <v>204</v>
      </c>
      <c r="H270" s="12" t="s">
        <v>2172</v>
      </c>
      <c r="I270" s="12" t="s">
        <v>2173</v>
      </c>
      <c r="J270" s="12" t="s">
        <v>2174</v>
      </c>
      <c r="K270" s="12" t="s">
        <v>2175</v>
      </c>
      <c r="L270" s="12" t="s">
        <v>2176</v>
      </c>
      <c r="Y270" s="12" t="s">
        <v>2014</v>
      </c>
      <c r="Z270" s="12" t="s">
        <v>2177</v>
      </c>
      <c r="AA270" s="12" t="s">
        <v>2107</v>
      </c>
      <c r="AB270" s="12" t="s">
        <v>2178</v>
      </c>
      <c r="AC270" s="12" t="s">
        <v>2179</v>
      </c>
      <c r="AD270" s="12" t="s">
        <v>2180</v>
      </c>
      <c r="AE270" s="12" t="s">
        <v>2128</v>
      </c>
      <c r="AF270" s="12" t="s">
        <v>4616</v>
      </c>
      <c r="AG270" s="12" t="s">
        <v>2182</v>
      </c>
      <c r="AU270" s="12" t="s">
        <v>246</v>
      </c>
      <c r="AV270" s="12" t="s">
        <v>246</v>
      </c>
      <c r="AW270" s="12" t="s">
        <v>221</v>
      </c>
    </row>
    <row r="271" spans="1:49" ht="13.35" customHeight="1" x14ac:dyDescent="0.2">
      <c r="A271" s="80" t="s">
        <v>4062</v>
      </c>
      <c r="B271" s="81" t="s">
        <v>4212</v>
      </c>
      <c r="E271" s="59" t="s">
        <v>2183</v>
      </c>
      <c r="F271" s="12">
        <v>28</v>
      </c>
      <c r="G271" s="12" t="s">
        <v>1981</v>
      </c>
      <c r="H271" s="12" t="s">
        <v>2184</v>
      </c>
      <c r="I271" s="12" t="s">
        <v>2185</v>
      </c>
      <c r="J271" s="12" t="s">
        <v>2186</v>
      </c>
      <c r="K271" s="12" t="s">
        <v>2187</v>
      </c>
      <c r="L271" s="12" t="s">
        <v>2188</v>
      </c>
      <c r="M271" s="12" t="s">
        <v>2189</v>
      </c>
      <c r="N271" s="12" t="s">
        <v>2190</v>
      </c>
      <c r="O271" s="12" t="s">
        <v>2191</v>
      </c>
      <c r="Y271" s="12" t="s">
        <v>2192</v>
      </c>
      <c r="Z271" s="12" t="s">
        <v>2154</v>
      </c>
      <c r="AA271" s="12" t="s">
        <v>2193</v>
      </c>
      <c r="AB271" s="12" t="s">
        <v>2036</v>
      </c>
      <c r="AC271" s="12" t="s">
        <v>2194</v>
      </c>
      <c r="AD271" s="12" t="s">
        <v>2154</v>
      </c>
      <c r="AU271" s="12" t="s">
        <v>246</v>
      </c>
      <c r="AV271" s="12" t="s">
        <v>246</v>
      </c>
      <c r="AW271" s="12" t="s">
        <v>246</v>
      </c>
    </row>
    <row r="272" spans="1:49" ht="13.35" customHeight="1" x14ac:dyDescent="0.2">
      <c r="A272" s="80" t="s">
        <v>958</v>
      </c>
      <c r="B272" s="81" t="s">
        <v>4213</v>
      </c>
      <c r="E272" s="59" t="s">
        <v>2195</v>
      </c>
      <c r="F272" s="12">
        <v>110</v>
      </c>
      <c r="G272" s="12" t="s">
        <v>204</v>
      </c>
      <c r="H272" s="12" t="s">
        <v>1982</v>
      </c>
      <c r="I272" s="12" t="s">
        <v>2196</v>
      </c>
      <c r="J272" s="12" t="s">
        <v>2196</v>
      </c>
      <c r="K272" s="12" t="s">
        <v>2197</v>
      </c>
      <c r="L272" s="12" t="s">
        <v>2198</v>
      </c>
      <c r="Y272" s="12" t="s">
        <v>2199</v>
      </c>
      <c r="Z272" s="12" t="s">
        <v>2200</v>
      </c>
      <c r="AA272" s="12" t="s">
        <v>2201</v>
      </c>
      <c r="AB272" s="12" t="s">
        <v>2202</v>
      </c>
      <c r="AC272" s="12" t="s">
        <v>2130</v>
      </c>
      <c r="AD272" s="12" t="s">
        <v>2203</v>
      </c>
      <c r="AE272" s="12" t="s">
        <v>2128</v>
      </c>
      <c r="AF272" s="12" t="s">
        <v>2133</v>
      </c>
      <c r="AG272" s="12" t="s">
        <v>2128</v>
      </c>
      <c r="AH272" s="12" t="s">
        <v>2204</v>
      </c>
      <c r="AI272" s="12" t="s">
        <v>2205</v>
      </c>
      <c r="AJ272" s="12" t="s">
        <v>2206</v>
      </c>
      <c r="AK272" s="12" t="s">
        <v>2107</v>
      </c>
      <c r="AU272" s="12" t="s">
        <v>246</v>
      </c>
      <c r="AV272" s="12" t="s">
        <v>246</v>
      </c>
      <c r="AW272" s="12" t="s">
        <v>246</v>
      </c>
    </row>
    <row r="273" spans="1:49" ht="13.35" customHeight="1" x14ac:dyDescent="0.2">
      <c r="A273" s="80" t="s">
        <v>957</v>
      </c>
      <c r="B273" s="81" t="s">
        <v>4213</v>
      </c>
      <c r="E273" s="59" t="s">
        <v>2207</v>
      </c>
      <c r="F273" s="12">
        <v>37</v>
      </c>
      <c r="G273" s="12" t="s">
        <v>1981</v>
      </c>
      <c r="H273" s="12" t="s">
        <v>2120</v>
      </c>
      <c r="I273" s="12" t="s">
        <v>2121</v>
      </c>
      <c r="J273" s="12" t="s">
        <v>2208</v>
      </c>
      <c r="K273" s="12" t="s">
        <v>2209</v>
      </c>
      <c r="L273" s="12" t="s">
        <v>2210</v>
      </c>
      <c r="M273" s="12" t="s">
        <v>2211</v>
      </c>
      <c r="Y273" s="12" t="s">
        <v>2212</v>
      </c>
      <c r="Z273" s="12" t="s">
        <v>2213</v>
      </c>
      <c r="AA273" s="12" t="s">
        <v>2128</v>
      </c>
      <c r="AB273" s="12" t="s">
        <v>2214</v>
      </c>
      <c r="AC273" s="12" t="s">
        <v>2215</v>
      </c>
      <c r="AD273" s="12" t="s">
        <v>2216</v>
      </c>
      <c r="AE273" s="12" t="s">
        <v>2107</v>
      </c>
      <c r="AF273" s="12" t="s">
        <v>2081</v>
      </c>
      <c r="AG273" s="12" t="s">
        <v>1996</v>
      </c>
      <c r="AH273" s="12" t="s">
        <v>2146</v>
      </c>
      <c r="AI273" s="12" t="s">
        <v>1998</v>
      </c>
      <c r="AU273" s="12" t="s">
        <v>246</v>
      </c>
      <c r="AV273" s="12" t="s">
        <v>246</v>
      </c>
      <c r="AW273" s="12" t="s">
        <v>246</v>
      </c>
    </row>
    <row r="274" spans="1:49" ht="13.35" customHeight="1" x14ac:dyDescent="0.2">
      <c r="A274" s="80" t="s">
        <v>4065</v>
      </c>
      <c r="B274" s="81" t="s">
        <v>4214</v>
      </c>
      <c r="E274" s="59" t="s">
        <v>2217</v>
      </c>
      <c r="F274" s="12">
        <v>33</v>
      </c>
      <c r="G274" s="12" t="s">
        <v>204</v>
      </c>
      <c r="H274" s="12" t="s">
        <v>2218</v>
      </c>
      <c r="I274" s="12" t="s">
        <v>2219</v>
      </c>
      <c r="J274" s="12" t="s">
        <v>2220</v>
      </c>
      <c r="K274" s="12" t="s">
        <v>2221</v>
      </c>
      <c r="L274" s="12" t="s">
        <v>2222</v>
      </c>
      <c r="M274" s="12" t="s">
        <v>2211</v>
      </c>
      <c r="Y274" s="12" t="s">
        <v>2081</v>
      </c>
      <c r="Z274" s="12" t="s">
        <v>2223</v>
      </c>
      <c r="AA274" s="12" t="s">
        <v>2224</v>
      </c>
      <c r="AB274" s="12" t="s">
        <v>2225</v>
      </c>
      <c r="AC274" s="12" t="s">
        <v>2226</v>
      </c>
      <c r="AD274" s="12" t="s">
        <v>2107</v>
      </c>
      <c r="AE274" s="12" t="s">
        <v>2227</v>
      </c>
      <c r="AF274" s="12" t="s">
        <v>2107</v>
      </c>
      <c r="AG274" s="12" t="s">
        <v>2170</v>
      </c>
      <c r="AH274" s="12" t="s">
        <v>2107</v>
      </c>
      <c r="AU274" s="12" t="s">
        <v>246</v>
      </c>
      <c r="AV274" s="12" t="s">
        <v>246</v>
      </c>
      <c r="AW274" s="12" t="s">
        <v>246</v>
      </c>
    </row>
    <row r="275" spans="1:49" ht="13.35" customHeight="1" x14ac:dyDescent="0.2">
      <c r="A275" s="80" t="s">
        <v>4215</v>
      </c>
      <c r="B275" s="81" t="s">
        <v>4216</v>
      </c>
      <c r="E275" s="59" t="s">
        <v>2228</v>
      </c>
      <c r="F275" s="12">
        <v>48</v>
      </c>
      <c r="G275" s="12" t="s">
        <v>2229</v>
      </c>
      <c r="H275" s="12" t="s">
        <v>2230</v>
      </c>
      <c r="I275" s="12" t="s">
        <v>2231</v>
      </c>
      <c r="J275" s="12" t="s">
        <v>2232</v>
      </c>
      <c r="K275" s="12" t="s">
        <v>2222</v>
      </c>
      <c r="L275" s="12" t="s">
        <v>2233</v>
      </c>
      <c r="M275" s="12" t="s">
        <v>2234</v>
      </c>
      <c r="N275" s="12" t="s">
        <v>2235</v>
      </c>
      <c r="O275" s="12" t="s">
        <v>2236</v>
      </c>
      <c r="Y275" s="12" t="s">
        <v>2237</v>
      </c>
      <c r="Z275" s="12" t="s">
        <v>2238</v>
      </c>
      <c r="AA275" s="12" t="s">
        <v>2239</v>
      </c>
      <c r="AB275" s="12" t="s">
        <v>2146</v>
      </c>
      <c r="AC275" s="12" t="s">
        <v>2166</v>
      </c>
      <c r="AD275" s="12" t="s">
        <v>2199</v>
      </c>
      <c r="AE275" s="12" t="s">
        <v>2240</v>
      </c>
      <c r="AF275" s="12" t="s">
        <v>2241</v>
      </c>
      <c r="AG275" s="12" t="s">
        <v>2039</v>
      </c>
      <c r="AH275" s="12" t="s">
        <v>2242</v>
      </c>
      <c r="AI275" s="12" t="s">
        <v>2243</v>
      </c>
      <c r="AJ275" s="12" t="s">
        <v>2244</v>
      </c>
      <c r="AK275" s="12" t="s">
        <v>2245</v>
      </c>
      <c r="AU275" s="12" t="s">
        <v>246</v>
      </c>
      <c r="AV275" s="12" t="s">
        <v>246</v>
      </c>
      <c r="AW275" s="12" t="s">
        <v>246</v>
      </c>
    </row>
    <row r="276" spans="1:49" ht="13.35" customHeight="1" x14ac:dyDescent="0.2">
      <c r="A276" s="80" t="s">
        <v>4227</v>
      </c>
      <c r="B276" s="81" t="s">
        <v>4217</v>
      </c>
      <c r="E276" s="59" t="s">
        <v>2246</v>
      </c>
      <c r="F276" s="12">
        <v>18</v>
      </c>
      <c r="G276" s="12" t="s">
        <v>204</v>
      </c>
      <c r="H276" s="12" t="s">
        <v>2247</v>
      </c>
      <c r="I276" s="12" t="s">
        <v>2248</v>
      </c>
      <c r="J276" s="12" t="s">
        <v>2249</v>
      </c>
      <c r="K276" s="12" t="s">
        <v>2250</v>
      </c>
      <c r="L276" s="12" t="s">
        <v>2251</v>
      </c>
      <c r="M276" s="12" t="s">
        <v>2252</v>
      </c>
      <c r="N276" s="12" t="s">
        <v>2253</v>
      </c>
      <c r="Y276" s="12" t="s">
        <v>2016</v>
      </c>
      <c r="Z276" s="12" t="s">
        <v>2254</v>
      </c>
      <c r="AA276" s="12" t="s">
        <v>2255</v>
      </c>
      <c r="AB276" s="12" t="s">
        <v>2256</v>
      </c>
      <c r="AC276" s="12" t="s">
        <v>2257</v>
      </c>
      <c r="AD276" s="12" t="s">
        <v>2258</v>
      </c>
      <c r="AE276" s="12" t="s">
        <v>2002</v>
      </c>
      <c r="AF276" s="12" t="s">
        <v>2259</v>
      </c>
      <c r="AG276" s="12" t="s">
        <v>2260</v>
      </c>
      <c r="AH276" s="12" t="s">
        <v>2261</v>
      </c>
      <c r="AU276" s="12" t="s">
        <v>246</v>
      </c>
      <c r="AV276" s="12" t="s">
        <v>246</v>
      </c>
      <c r="AW276" s="12" t="s">
        <v>246</v>
      </c>
    </row>
    <row r="277" spans="1:49" ht="13.35" customHeight="1" x14ac:dyDescent="0.2">
      <c r="A277" s="80" t="s">
        <v>4226</v>
      </c>
      <c r="B277" s="81" t="s">
        <v>4218</v>
      </c>
      <c r="E277" s="59" t="s">
        <v>2262</v>
      </c>
      <c r="F277" s="12">
        <v>66</v>
      </c>
      <c r="G277" s="12" t="s">
        <v>204</v>
      </c>
      <c r="H277" s="12" t="s">
        <v>2263</v>
      </c>
      <c r="I277" s="12" t="s">
        <v>2264</v>
      </c>
      <c r="J277" s="12" t="s">
        <v>2265</v>
      </c>
      <c r="K277" s="12" t="s">
        <v>2266</v>
      </c>
      <c r="L277" s="12" t="s">
        <v>2267</v>
      </c>
      <c r="Y277" s="12" t="s">
        <v>2204</v>
      </c>
      <c r="Z277" s="12" t="s">
        <v>2205</v>
      </c>
      <c r="AA277" s="12" t="s">
        <v>2216</v>
      </c>
      <c r="AB277" s="12" t="s">
        <v>1992</v>
      </c>
      <c r="AC277" s="12" t="s">
        <v>2268</v>
      </c>
      <c r="AD277" s="12" t="s">
        <v>1994</v>
      </c>
      <c r="AE277" s="12" t="s">
        <v>2146</v>
      </c>
      <c r="AF277" s="12" t="s">
        <v>1998</v>
      </c>
      <c r="AG277" s="12" t="s">
        <v>2130</v>
      </c>
      <c r="AH277" s="12" t="s">
        <v>2036</v>
      </c>
      <c r="AI277" s="12" t="s">
        <v>2192</v>
      </c>
      <c r="AJ277" s="12" t="s">
        <v>2002</v>
      </c>
      <c r="AK277" s="12" t="s">
        <v>2128</v>
      </c>
      <c r="AU277" s="12" t="s">
        <v>246</v>
      </c>
      <c r="AV277" s="12" t="s">
        <v>246</v>
      </c>
      <c r="AW277" s="12" t="s">
        <v>2269</v>
      </c>
    </row>
    <row r="278" spans="1:49" ht="13.35" customHeight="1" x14ac:dyDescent="0.2">
      <c r="A278" s="80" t="s">
        <v>4066</v>
      </c>
      <c r="B278" s="81" t="s">
        <v>4219</v>
      </c>
      <c r="E278" s="59" t="s">
        <v>2270</v>
      </c>
      <c r="F278" s="12">
        <v>42</v>
      </c>
      <c r="G278" s="12" t="s">
        <v>2229</v>
      </c>
      <c r="H278" s="12" t="s">
        <v>2271</v>
      </c>
      <c r="I278" s="12" t="s">
        <v>2272</v>
      </c>
      <c r="J278" s="12" t="s">
        <v>2273</v>
      </c>
      <c r="K278" s="12" t="s">
        <v>2274</v>
      </c>
      <c r="L278" s="12" t="s">
        <v>2275</v>
      </c>
      <c r="M278" s="12" t="s">
        <v>2276</v>
      </c>
      <c r="N278" s="12" t="s">
        <v>2277</v>
      </c>
      <c r="O278" s="12" t="s">
        <v>2278</v>
      </c>
      <c r="Y278" s="12" t="s">
        <v>2279</v>
      </c>
      <c r="Z278" s="12" t="s">
        <v>2128</v>
      </c>
      <c r="AA278" s="12" t="s">
        <v>2280</v>
      </c>
      <c r="AB278" s="12" t="s">
        <v>2281</v>
      </c>
      <c r="AC278" s="12" t="s">
        <v>2018</v>
      </c>
      <c r="AD278" s="12" t="s">
        <v>2128</v>
      </c>
      <c r="AE278" s="12" t="s">
        <v>2083</v>
      </c>
      <c r="AF278" s="12" t="s">
        <v>2282</v>
      </c>
      <c r="AG278" s="12" t="s">
        <v>2283</v>
      </c>
      <c r="AU278" s="12" t="s">
        <v>246</v>
      </c>
      <c r="AV278" s="12" t="s">
        <v>246</v>
      </c>
      <c r="AW278" s="12" t="s">
        <v>246</v>
      </c>
    </row>
    <row r="279" spans="1:49" ht="13.35" customHeight="1" x14ac:dyDescent="0.2">
      <c r="A279" s="80" t="s">
        <v>880</v>
      </c>
      <c r="B279" s="81" t="s">
        <v>4220</v>
      </c>
      <c r="E279" s="59" t="s">
        <v>2284</v>
      </c>
      <c r="F279" s="12">
        <v>116</v>
      </c>
      <c r="G279" s="12" t="s">
        <v>204</v>
      </c>
      <c r="H279" s="12" t="s">
        <v>2285</v>
      </c>
      <c r="I279" s="12" t="s">
        <v>2098</v>
      </c>
      <c r="J279" s="12" t="s">
        <v>2286</v>
      </c>
      <c r="K279" s="12" t="s">
        <v>2287</v>
      </c>
      <c r="L279" s="12" t="s">
        <v>2288</v>
      </c>
      <c r="M279" s="12" t="s">
        <v>2289</v>
      </c>
      <c r="Y279" s="12" t="s">
        <v>2290</v>
      </c>
      <c r="Z279" s="12" t="s">
        <v>2291</v>
      </c>
      <c r="AA279" s="12" t="s">
        <v>2292</v>
      </c>
      <c r="AB279" s="12" t="s">
        <v>2015</v>
      </c>
      <c r="AC279" s="12" t="s">
        <v>1993</v>
      </c>
      <c r="AD279" s="12" t="s">
        <v>2015</v>
      </c>
      <c r="AE279" s="12" t="s">
        <v>2081</v>
      </c>
      <c r="AF279" s="12" t="s">
        <v>2107</v>
      </c>
      <c r="AG279" s="12" t="s">
        <v>2293</v>
      </c>
      <c r="AH279" s="12" t="s">
        <v>2128</v>
      </c>
      <c r="AI279" s="12" t="s">
        <v>2226</v>
      </c>
      <c r="AJ279" s="12" t="s">
        <v>2107</v>
      </c>
      <c r="AK279" s="12" t="s">
        <v>2294</v>
      </c>
      <c r="AL279" s="12" t="s">
        <v>2295</v>
      </c>
      <c r="AU279" s="12" t="s">
        <v>246</v>
      </c>
      <c r="AV279" s="12" t="s">
        <v>246</v>
      </c>
      <c r="AW279" s="12" t="s">
        <v>215</v>
      </c>
    </row>
    <row r="280" spans="1:49" ht="13.35" customHeight="1" x14ac:dyDescent="0.2">
      <c r="A280" s="80" t="s">
        <v>1038</v>
      </c>
      <c r="B280" s="81" t="s">
        <v>4221</v>
      </c>
      <c r="E280" s="59" t="s">
        <v>2296</v>
      </c>
      <c r="F280" s="12">
        <v>33</v>
      </c>
      <c r="G280" s="12" t="s">
        <v>2229</v>
      </c>
      <c r="H280" s="12" t="s">
        <v>2297</v>
      </c>
      <c r="I280" s="12" t="s">
        <v>2298</v>
      </c>
      <c r="J280" s="12" t="s">
        <v>2299</v>
      </c>
      <c r="K280" s="12" t="s">
        <v>2300</v>
      </c>
      <c r="L280" s="12" t="s">
        <v>2301</v>
      </c>
      <c r="M280" s="12" t="s">
        <v>2302</v>
      </c>
      <c r="N280" s="12" t="s">
        <v>2303</v>
      </c>
      <c r="O280" s="12" t="s">
        <v>2304</v>
      </c>
      <c r="P280" s="12" t="s">
        <v>2305</v>
      </c>
      <c r="Q280" s="12" t="s">
        <v>2306</v>
      </c>
      <c r="R280" s="12" t="s">
        <v>2307</v>
      </c>
      <c r="S280" s="12" t="s">
        <v>2308</v>
      </c>
      <c r="T280" s="12" t="s">
        <v>2309</v>
      </c>
      <c r="Y280" s="12" t="s">
        <v>2194</v>
      </c>
      <c r="Z280" s="12" t="s">
        <v>2310</v>
      </c>
      <c r="AA280" s="12" t="s">
        <v>2130</v>
      </c>
      <c r="AB280" s="12" t="s">
        <v>2311</v>
      </c>
      <c r="AC280" s="12" t="s">
        <v>2133</v>
      </c>
      <c r="AD280" s="12" t="s">
        <v>2312</v>
      </c>
      <c r="AE280" s="12" t="s">
        <v>2313</v>
      </c>
      <c r="AF280" s="12" t="s">
        <v>2314</v>
      </c>
      <c r="AG280" s="12" t="s">
        <v>2107</v>
      </c>
      <c r="AU280" s="12" t="s">
        <v>246</v>
      </c>
      <c r="AV280" s="12" t="s">
        <v>246</v>
      </c>
      <c r="AW280" s="12" t="s">
        <v>246</v>
      </c>
    </row>
    <row r="281" spans="1:49" ht="13.35" customHeight="1" x14ac:dyDescent="0.2">
      <c r="A281" s="80" t="s">
        <v>4067</v>
      </c>
      <c r="B281" s="81" t="s">
        <v>4222</v>
      </c>
      <c r="E281" s="59" t="s">
        <v>2315</v>
      </c>
      <c r="F281" s="12">
        <v>35</v>
      </c>
      <c r="G281" s="12" t="s">
        <v>2316</v>
      </c>
      <c r="H281" s="12" t="s">
        <v>2317</v>
      </c>
      <c r="I281" s="12" t="s">
        <v>2318</v>
      </c>
      <c r="J281" s="12" t="s">
        <v>2319</v>
      </c>
      <c r="K281" s="12" t="s">
        <v>2320</v>
      </c>
      <c r="L281" s="12" t="s">
        <v>2321</v>
      </c>
      <c r="Y281" s="12" t="s">
        <v>2322</v>
      </c>
      <c r="Z281" s="12" t="s">
        <v>705</v>
      </c>
      <c r="AA281" s="12" t="s">
        <v>1995</v>
      </c>
      <c r="AB281" s="12" t="s">
        <v>2323</v>
      </c>
      <c r="AC281" s="12" t="s">
        <v>2324</v>
      </c>
      <c r="AD281" s="12" t="s">
        <v>2325</v>
      </c>
      <c r="AE281" s="12" t="s">
        <v>2326</v>
      </c>
      <c r="AF281" s="12" t="s">
        <v>2327</v>
      </c>
      <c r="AG281" s="12" t="s">
        <v>2313</v>
      </c>
      <c r="AH281" s="12" t="s">
        <v>2328</v>
      </c>
      <c r="AU281" s="12" t="s">
        <v>246</v>
      </c>
      <c r="AV281" s="12" t="s">
        <v>246</v>
      </c>
      <c r="AW281" s="12" t="s">
        <v>246</v>
      </c>
    </row>
    <row r="282" spans="1:49" ht="13.35" customHeight="1" x14ac:dyDescent="0.2">
      <c r="A282" s="80" t="s">
        <v>4225</v>
      </c>
      <c r="B282" s="81" t="s">
        <v>4223</v>
      </c>
      <c r="E282" s="59" t="s">
        <v>2329</v>
      </c>
      <c r="F282" s="12">
        <v>18</v>
      </c>
      <c r="G282" s="12" t="s">
        <v>2229</v>
      </c>
      <c r="H282" s="12" t="s">
        <v>2330</v>
      </c>
      <c r="I282" s="12" t="s">
        <v>2330</v>
      </c>
      <c r="J282" s="12" t="s">
        <v>2330</v>
      </c>
      <c r="K282" s="12" t="s">
        <v>2331</v>
      </c>
      <c r="L282" s="12" t="s">
        <v>2332</v>
      </c>
      <c r="M282" s="12" t="s">
        <v>2333</v>
      </c>
      <c r="Y282" s="12" t="s">
        <v>2334</v>
      </c>
      <c r="Z282" s="12" t="s">
        <v>2107</v>
      </c>
      <c r="AA282" s="12" t="s">
        <v>2313</v>
      </c>
      <c r="AB282" s="12" t="s">
        <v>2335</v>
      </c>
      <c r="AC282" s="12" t="s">
        <v>2336</v>
      </c>
      <c r="AD282" s="12" t="s">
        <v>2326</v>
      </c>
      <c r="AE282" s="12" t="s">
        <v>2040</v>
      </c>
      <c r="AF282" s="12" t="s">
        <v>2041</v>
      </c>
      <c r="AG282" s="12" t="s">
        <v>2194</v>
      </c>
      <c r="AH282" s="12" t="s">
        <v>2337</v>
      </c>
      <c r="AI282" s="12" t="s">
        <v>2224</v>
      </c>
      <c r="AJ282" s="12" t="s">
        <v>2338</v>
      </c>
      <c r="AK282" s="12" t="s">
        <v>2339</v>
      </c>
      <c r="AL282" s="12" t="s">
        <v>2045</v>
      </c>
      <c r="AM282" s="12" t="s">
        <v>2047</v>
      </c>
      <c r="AN282" s="12" t="s">
        <v>2046</v>
      </c>
      <c r="AU282" s="12" t="s">
        <v>246</v>
      </c>
      <c r="AV282" s="12" t="s">
        <v>246</v>
      </c>
      <c r="AW282" s="12" t="s">
        <v>215</v>
      </c>
    </row>
    <row r="283" spans="1:49" ht="13.35" customHeight="1" x14ac:dyDescent="0.2">
      <c r="A283" s="80" t="s">
        <v>4058</v>
      </c>
      <c r="B283" s="81" t="s">
        <v>4224</v>
      </c>
      <c r="E283" s="59" t="s">
        <v>2340</v>
      </c>
      <c r="F283" s="12">
        <v>69</v>
      </c>
      <c r="G283" s="12" t="s">
        <v>204</v>
      </c>
      <c r="H283" s="12" t="s">
        <v>2341</v>
      </c>
      <c r="I283" s="12" t="s">
        <v>2342</v>
      </c>
      <c r="J283" s="12" t="s">
        <v>2343</v>
      </c>
      <c r="K283" s="12" t="s">
        <v>2263</v>
      </c>
      <c r="L283" s="12" t="s">
        <v>2344</v>
      </c>
      <c r="M283" s="12" t="s">
        <v>2345</v>
      </c>
      <c r="N283" s="12" t="s">
        <v>2317</v>
      </c>
      <c r="O283" s="12" t="s">
        <v>2346</v>
      </c>
      <c r="P283" s="12" t="s">
        <v>2347</v>
      </c>
      <c r="Q283" s="12" t="s">
        <v>2348</v>
      </c>
      <c r="Y283" s="12" t="s">
        <v>2349</v>
      </c>
      <c r="Z283" s="12" t="s">
        <v>2015</v>
      </c>
      <c r="AA283" s="12" t="s">
        <v>2350</v>
      </c>
      <c r="AB283" s="12" t="s">
        <v>2351</v>
      </c>
      <c r="AC283" s="12" t="s">
        <v>2352</v>
      </c>
      <c r="AD283" s="12" t="s">
        <v>2353</v>
      </c>
      <c r="AE283" s="12" t="s">
        <v>2107</v>
      </c>
      <c r="AF283" s="12" t="s">
        <v>2130</v>
      </c>
      <c r="AG283" s="12" t="s">
        <v>2354</v>
      </c>
      <c r="AH283" s="12" t="s">
        <v>2355</v>
      </c>
      <c r="AI283" s="12" t="s">
        <v>2356</v>
      </c>
      <c r="AJ283" s="12" t="s">
        <v>2108</v>
      </c>
      <c r="AK283" s="12" t="s">
        <v>2357</v>
      </c>
      <c r="AU283" s="12" t="s">
        <v>246</v>
      </c>
      <c r="AV283" s="12" t="s">
        <v>246</v>
      </c>
      <c r="AW283" s="12" t="s">
        <v>2358</v>
      </c>
    </row>
    <row r="284" spans="1:49" ht="13.35" customHeight="1" x14ac:dyDescent="0.2">
      <c r="A284" s="80" t="s">
        <v>4254</v>
      </c>
      <c r="B284" s="81" t="s">
        <v>4255</v>
      </c>
      <c r="E284" s="59" t="s">
        <v>2359</v>
      </c>
      <c r="F284" s="12">
        <v>40</v>
      </c>
      <c r="G284" s="12" t="s">
        <v>204</v>
      </c>
      <c r="H284" s="12" t="s">
        <v>2360</v>
      </c>
      <c r="I284" s="12" t="s">
        <v>2361</v>
      </c>
      <c r="J284" s="12" t="s">
        <v>2362</v>
      </c>
      <c r="K284" s="12" t="s">
        <v>2363</v>
      </c>
      <c r="L284" s="12" t="s">
        <v>2364</v>
      </c>
      <c r="Y284" s="12" t="s">
        <v>2365</v>
      </c>
      <c r="Z284" s="12" t="s">
        <v>2295</v>
      </c>
      <c r="AA284" s="12" t="s">
        <v>2016</v>
      </c>
      <c r="AB284" s="12" t="s">
        <v>2017</v>
      </c>
      <c r="AC284" s="12" t="s">
        <v>2366</v>
      </c>
      <c r="AD284" s="12" t="s">
        <v>2107</v>
      </c>
      <c r="AE284" s="12" t="s">
        <v>2367</v>
      </c>
      <c r="AF284" s="12" t="s">
        <v>2368</v>
      </c>
      <c r="AU284" s="12" t="s">
        <v>246</v>
      </c>
      <c r="AV284" s="12" t="s">
        <v>246</v>
      </c>
      <c r="AW284" s="12" t="s">
        <v>246</v>
      </c>
    </row>
    <row r="285" spans="1:49" ht="13.35" customHeight="1" x14ac:dyDescent="0.2">
      <c r="A285" s="80" t="s">
        <v>4259</v>
      </c>
      <c r="B285" s="81" t="s">
        <v>4228</v>
      </c>
      <c r="E285" s="59" t="s">
        <v>2369</v>
      </c>
      <c r="F285" s="12">
        <v>120</v>
      </c>
      <c r="G285" s="12" t="s">
        <v>204</v>
      </c>
      <c r="H285" s="12" t="s">
        <v>2370</v>
      </c>
      <c r="I285" s="12" t="s">
        <v>2371</v>
      </c>
      <c r="J285" s="12" t="s">
        <v>2372</v>
      </c>
      <c r="K285" s="12" t="s">
        <v>2373</v>
      </c>
      <c r="L285" s="12" t="s">
        <v>2374</v>
      </c>
      <c r="M285" s="12" t="s">
        <v>2375</v>
      </c>
      <c r="Y285" s="12" t="s">
        <v>2376</v>
      </c>
      <c r="Z285" s="12" t="s">
        <v>2377</v>
      </c>
      <c r="AA285" s="12" t="s">
        <v>2378</v>
      </c>
      <c r="AB285" s="12" t="s">
        <v>2379</v>
      </c>
      <c r="AC285" s="12" t="s">
        <v>2380</v>
      </c>
      <c r="AD285" s="12" t="s">
        <v>2107</v>
      </c>
      <c r="AE285" s="12" t="s">
        <v>2381</v>
      </c>
      <c r="AF285" s="12" t="s">
        <v>2382</v>
      </c>
      <c r="AG285" s="12" t="s">
        <v>4616</v>
      </c>
      <c r="AH285" s="12" t="s">
        <v>2383</v>
      </c>
      <c r="AU285" s="12" t="s">
        <v>246</v>
      </c>
      <c r="AV285" s="12" t="s">
        <v>246</v>
      </c>
      <c r="AW285" s="12" t="s">
        <v>229</v>
      </c>
    </row>
    <row r="286" spans="1:49" ht="13.35" customHeight="1" x14ac:dyDescent="0.2">
      <c r="A286" s="80" t="s">
        <v>4041</v>
      </c>
      <c r="B286" s="81" t="s">
        <v>4229</v>
      </c>
      <c r="E286" s="59" t="s">
        <v>2384</v>
      </c>
      <c r="F286" s="12">
        <v>73</v>
      </c>
      <c r="G286" s="12" t="s">
        <v>204</v>
      </c>
      <c r="H286" s="12" t="s">
        <v>2385</v>
      </c>
      <c r="I286" s="12" t="s">
        <v>2386</v>
      </c>
      <c r="J286" s="12" t="s">
        <v>2387</v>
      </c>
      <c r="K286" s="12" t="s">
        <v>2388</v>
      </c>
      <c r="L286" s="12" t="s">
        <v>2389</v>
      </c>
      <c r="M286" s="12" t="s">
        <v>2390</v>
      </c>
      <c r="Y286" s="12" t="s">
        <v>2391</v>
      </c>
      <c r="Z286" s="12" t="s">
        <v>2392</v>
      </c>
      <c r="AA286" s="12" t="s">
        <v>2393</v>
      </c>
      <c r="AB286" s="12" t="s">
        <v>2394</v>
      </c>
      <c r="AC286" s="12" t="s">
        <v>2392</v>
      </c>
      <c r="AD286" s="12" t="s">
        <v>2393</v>
      </c>
      <c r="AE286" s="12" t="s">
        <v>2395</v>
      </c>
      <c r="AF286" s="12" t="s">
        <v>2015</v>
      </c>
      <c r="AG286" s="12" t="s">
        <v>2130</v>
      </c>
      <c r="AH286" s="12" t="s">
        <v>2128</v>
      </c>
      <c r="AU286" s="12" t="s">
        <v>246</v>
      </c>
      <c r="AV286" s="12" t="s">
        <v>246</v>
      </c>
      <c r="AW286" s="12" t="s">
        <v>2396</v>
      </c>
    </row>
    <row r="287" spans="1:49" ht="13.35" customHeight="1" x14ac:dyDescent="0.2">
      <c r="A287" s="80" t="s">
        <v>4230</v>
      </c>
      <c r="B287" s="81" t="s">
        <v>4231</v>
      </c>
      <c r="E287" s="59" t="s">
        <v>2397</v>
      </c>
      <c r="F287" s="12">
        <v>80</v>
      </c>
      <c r="G287" s="12" t="s">
        <v>2229</v>
      </c>
      <c r="H287" s="12" t="s">
        <v>2398</v>
      </c>
      <c r="I287" s="12" t="s">
        <v>2399</v>
      </c>
      <c r="J287" s="12" t="s">
        <v>2345</v>
      </c>
      <c r="K287" s="12" t="s">
        <v>2400</v>
      </c>
      <c r="L287" s="12" t="s">
        <v>2401</v>
      </c>
      <c r="M287" s="12" t="s">
        <v>2401</v>
      </c>
      <c r="N287" s="12" t="s">
        <v>2402</v>
      </c>
      <c r="O287" s="12" t="s">
        <v>2403</v>
      </c>
      <c r="Y287" s="12" t="s">
        <v>2404</v>
      </c>
      <c r="Z287" s="12" t="s">
        <v>2015</v>
      </c>
      <c r="AA287" s="12" t="s">
        <v>2405</v>
      </c>
      <c r="AB287" s="12" t="s">
        <v>2017</v>
      </c>
      <c r="AC287" s="12" t="s">
        <v>2406</v>
      </c>
      <c r="AD287" s="12" t="s">
        <v>2107</v>
      </c>
      <c r="AE287" s="12" t="s">
        <v>2324</v>
      </c>
      <c r="AF287" s="12" t="s">
        <v>2407</v>
      </c>
      <c r="AG287" s="12" t="s">
        <v>2352</v>
      </c>
      <c r="AH287" s="12" t="s">
        <v>2107</v>
      </c>
      <c r="AI287" s="12" t="s">
        <v>2408</v>
      </c>
      <c r="AJ287" s="12" t="s">
        <v>2409</v>
      </c>
      <c r="AK287" s="12" t="s">
        <v>2108</v>
      </c>
      <c r="AL287" s="12" t="s">
        <v>2107</v>
      </c>
      <c r="AM287" s="12" t="s">
        <v>2001</v>
      </c>
      <c r="AN287" s="12" t="s">
        <v>2107</v>
      </c>
      <c r="AO287" s="12" t="s">
        <v>2410</v>
      </c>
      <c r="AP287" s="12" t="s">
        <v>2411</v>
      </c>
      <c r="AQ287" s="12" t="s">
        <v>2412</v>
      </c>
      <c r="AR287" s="12" t="s">
        <v>2413</v>
      </c>
      <c r="AU287" s="12" t="s">
        <v>246</v>
      </c>
      <c r="AV287" s="12" t="s">
        <v>246</v>
      </c>
      <c r="AW287" s="12" t="s">
        <v>215</v>
      </c>
    </row>
    <row r="288" spans="1:49" ht="13.35" customHeight="1" x14ac:dyDescent="0.2">
      <c r="A288" s="80" t="s">
        <v>4059</v>
      </c>
      <c r="B288" s="81" t="s">
        <v>4232</v>
      </c>
      <c r="E288" s="59" t="s">
        <v>2414</v>
      </c>
      <c r="F288" s="12">
        <v>23</v>
      </c>
      <c r="G288" s="12" t="s">
        <v>2229</v>
      </c>
      <c r="H288" s="12" t="s">
        <v>2415</v>
      </c>
      <c r="I288" s="12" t="s">
        <v>2415</v>
      </c>
      <c r="J288" s="12" t="s">
        <v>2415</v>
      </c>
      <c r="K288" s="12" t="s">
        <v>2416</v>
      </c>
      <c r="L288" s="12" t="s">
        <v>2417</v>
      </c>
      <c r="M288" s="12" t="s">
        <v>2417</v>
      </c>
      <c r="N288" s="12" t="s">
        <v>2418</v>
      </c>
      <c r="Y288" s="12" t="s">
        <v>2419</v>
      </c>
      <c r="Z288" s="12" t="s">
        <v>2420</v>
      </c>
      <c r="AA288" s="12" t="s">
        <v>2421</v>
      </c>
      <c r="AB288" s="12" t="s">
        <v>2422</v>
      </c>
      <c r="AC288" s="12" t="s">
        <v>2255</v>
      </c>
      <c r="AD288" s="12" t="s">
        <v>2423</v>
      </c>
      <c r="AE288" s="12" t="s">
        <v>2260</v>
      </c>
      <c r="AF288" s="12" t="s">
        <v>2424</v>
      </c>
      <c r="AU288" s="12" t="s">
        <v>246</v>
      </c>
      <c r="AV288" s="12" t="s">
        <v>246</v>
      </c>
      <c r="AW288" s="12" t="s">
        <v>246</v>
      </c>
    </row>
    <row r="289" spans="1:49" ht="13.35" customHeight="1" x14ac:dyDescent="0.2">
      <c r="A289" s="80" t="s">
        <v>4068</v>
      </c>
      <c r="B289" s="81" t="s">
        <v>4233</v>
      </c>
      <c r="E289" s="59" t="s">
        <v>2425</v>
      </c>
      <c r="F289" s="12">
        <v>106</v>
      </c>
      <c r="G289" s="12" t="s">
        <v>204</v>
      </c>
      <c r="H289" s="12" t="s">
        <v>2426</v>
      </c>
      <c r="I289" s="12" t="s">
        <v>2427</v>
      </c>
      <c r="J289" s="12" t="s">
        <v>2428</v>
      </c>
      <c r="K289" s="12" t="s">
        <v>2429</v>
      </c>
      <c r="L289" s="12" t="s">
        <v>2430</v>
      </c>
      <c r="M289" s="12" t="s">
        <v>2431</v>
      </c>
      <c r="N289" s="12" t="s">
        <v>2432</v>
      </c>
      <c r="Y289" s="12" t="s">
        <v>2255</v>
      </c>
      <c r="Z289" s="12" t="s">
        <v>2257</v>
      </c>
      <c r="AA289" s="12" t="s">
        <v>2433</v>
      </c>
      <c r="AB289" s="12" t="s">
        <v>2434</v>
      </c>
      <c r="AC289" s="12" t="s">
        <v>2435</v>
      </c>
      <c r="AD289" s="12" t="s">
        <v>2180</v>
      </c>
      <c r="AE289" s="12" t="s">
        <v>2015</v>
      </c>
      <c r="AF289" s="12" t="s">
        <v>2436</v>
      </c>
      <c r="AG289" s="12" t="s">
        <v>2437</v>
      </c>
      <c r="AH289" s="12" t="s">
        <v>2130</v>
      </c>
      <c r="AI289" s="12" t="s">
        <v>2438</v>
      </c>
      <c r="AJ289" s="12" t="s">
        <v>4616</v>
      </c>
      <c r="AK289" s="12" t="s">
        <v>2439</v>
      </c>
      <c r="AU289" s="12" t="s">
        <v>246</v>
      </c>
      <c r="AV289" s="12" t="s">
        <v>246</v>
      </c>
      <c r="AW289" s="12" t="s">
        <v>233</v>
      </c>
    </row>
    <row r="290" spans="1:49" ht="13.35" customHeight="1" x14ac:dyDescent="0.2">
      <c r="A290" s="80" t="s">
        <v>4060</v>
      </c>
      <c r="B290" s="81" t="s">
        <v>4234</v>
      </c>
      <c r="E290" s="59" t="s">
        <v>2440</v>
      </c>
      <c r="F290" s="12">
        <v>40</v>
      </c>
      <c r="G290" s="12" t="s">
        <v>2229</v>
      </c>
      <c r="H290" s="12" t="s">
        <v>2441</v>
      </c>
      <c r="I290" s="12" t="s">
        <v>2442</v>
      </c>
      <c r="J290" s="12" t="s">
        <v>2443</v>
      </c>
      <c r="K290" s="12" t="s">
        <v>2443</v>
      </c>
      <c r="L290" s="12" t="s">
        <v>2444</v>
      </c>
      <c r="M290" s="12" t="s">
        <v>2445</v>
      </c>
      <c r="Y290" s="12" t="s">
        <v>2446</v>
      </c>
      <c r="Z290" s="12" t="s">
        <v>2447</v>
      </c>
      <c r="AA290" s="12" t="s">
        <v>2216</v>
      </c>
      <c r="AB290" s="12" t="s">
        <v>2017</v>
      </c>
      <c r="AC290" s="12" t="s">
        <v>2201</v>
      </c>
      <c r="AD290" s="12" t="s">
        <v>2448</v>
      </c>
      <c r="AE290" s="12" t="s">
        <v>2199</v>
      </c>
      <c r="AF290" s="12" t="s">
        <v>2128</v>
      </c>
      <c r="AU290" s="12" t="s">
        <v>246</v>
      </c>
      <c r="AV290" s="12" t="s">
        <v>246</v>
      </c>
      <c r="AW290" s="12" t="s">
        <v>246</v>
      </c>
    </row>
    <row r="291" spans="1:49" ht="13.35" customHeight="1" x14ac:dyDescent="0.2">
      <c r="A291" s="80" t="s">
        <v>4054</v>
      </c>
      <c r="B291" s="81" t="s">
        <v>4235</v>
      </c>
      <c r="E291" s="59" t="s">
        <v>2449</v>
      </c>
      <c r="F291" s="12">
        <v>130</v>
      </c>
      <c r="G291" s="12" t="s">
        <v>204</v>
      </c>
      <c r="H291" s="12" t="s">
        <v>2450</v>
      </c>
      <c r="I291" s="12" t="s">
        <v>2451</v>
      </c>
      <c r="J291" s="12" t="s">
        <v>2452</v>
      </c>
      <c r="K291" s="12" t="s">
        <v>2453</v>
      </c>
      <c r="L291" s="12" t="s">
        <v>2454</v>
      </c>
      <c r="M291" s="12" t="s">
        <v>2455</v>
      </c>
      <c r="Y291" s="12" t="s">
        <v>2456</v>
      </c>
      <c r="Z291" s="12" t="s">
        <v>2457</v>
      </c>
      <c r="AA291" s="12" t="s">
        <v>2458</v>
      </c>
      <c r="AB291" s="12" t="s">
        <v>2128</v>
      </c>
      <c r="AD291" s="12" t="s">
        <v>2459</v>
      </c>
      <c r="AE291" s="12" t="s">
        <v>2107</v>
      </c>
      <c r="AF291" s="12" t="s">
        <v>2201</v>
      </c>
      <c r="AG291" s="12" t="s">
        <v>2460</v>
      </c>
      <c r="AH291" s="12" t="s">
        <v>2081</v>
      </c>
      <c r="AI291" s="12" t="s">
        <v>2323</v>
      </c>
      <c r="AU291" s="12" t="s">
        <v>246</v>
      </c>
      <c r="AV291" s="12" t="s">
        <v>246</v>
      </c>
      <c r="AW291" s="12" t="s">
        <v>223</v>
      </c>
    </row>
    <row r="292" spans="1:49" ht="13.35" customHeight="1" x14ac:dyDescent="0.2">
      <c r="A292" s="80" t="s">
        <v>4069</v>
      </c>
      <c r="B292" s="81" t="s">
        <v>4236</v>
      </c>
      <c r="E292" s="59" t="s">
        <v>2461</v>
      </c>
      <c r="F292" s="12">
        <v>120</v>
      </c>
      <c r="G292" s="12" t="s">
        <v>204</v>
      </c>
      <c r="H292" s="12" t="s">
        <v>2271</v>
      </c>
      <c r="I292" s="12" t="s">
        <v>2462</v>
      </c>
      <c r="J292" s="12" t="s">
        <v>2172</v>
      </c>
      <c r="K292" s="12" t="s">
        <v>2463</v>
      </c>
      <c r="L292" s="12" t="s">
        <v>2464</v>
      </c>
      <c r="M292" s="12" t="s">
        <v>2465</v>
      </c>
      <c r="Y292" s="12" t="s">
        <v>2466</v>
      </c>
      <c r="Z292" s="12" t="s">
        <v>2467</v>
      </c>
      <c r="AA292" s="12" t="s">
        <v>2468</v>
      </c>
      <c r="AB292" s="12" t="s">
        <v>2469</v>
      </c>
      <c r="AC292" s="12" t="s">
        <v>2128</v>
      </c>
      <c r="AD292" s="12" t="s">
        <v>2083</v>
      </c>
      <c r="AE292" s="12" t="s">
        <v>2470</v>
      </c>
      <c r="AF292" s="12" t="s">
        <v>2181</v>
      </c>
      <c r="AG292" s="12" t="s">
        <v>2471</v>
      </c>
      <c r="AU292" s="12" t="s">
        <v>246</v>
      </c>
      <c r="AV292" s="12" t="s">
        <v>246</v>
      </c>
      <c r="AW292" s="12" t="s">
        <v>2472</v>
      </c>
    </row>
    <row r="293" spans="1:49" ht="13.35" customHeight="1" x14ac:dyDescent="0.2">
      <c r="A293" s="80" t="s">
        <v>4237</v>
      </c>
      <c r="B293" s="81" t="s">
        <v>4238</v>
      </c>
      <c r="E293" s="59" t="s">
        <v>2473</v>
      </c>
      <c r="F293" s="12">
        <v>28</v>
      </c>
      <c r="G293" s="12" t="s">
        <v>204</v>
      </c>
      <c r="H293" s="12" t="s">
        <v>2474</v>
      </c>
      <c r="I293" s="12" t="s">
        <v>2475</v>
      </c>
      <c r="J293" s="12" t="s">
        <v>2474</v>
      </c>
      <c r="K293" s="12" t="s">
        <v>2474</v>
      </c>
      <c r="L293" s="12" t="s">
        <v>2476</v>
      </c>
      <c r="M293" s="12" t="s">
        <v>2477</v>
      </c>
      <c r="N293" s="12" t="s">
        <v>2478</v>
      </c>
      <c r="Y293" s="12" t="s">
        <v>1993</v>
      </c>
      <c r="Z293" s="12" t="s">
        <v>2479</v>
      </c>
      <c r="AA293" s="12" t="s">
        <v>2216</v>
      </c>
      <c r="AB293" s="12" t="s">
        <v>1992</v>
      </c>
      <c r="AC293" s="12" t="s">
        <v>2194</v>
      </c>
      <c r="AD293" s="12" t="s">
        <v>2480</v>
      </c>
      <c r="AE293" s="12" t="s">
        <v>2130</v>
      </c>
      <c r="AF293" s="12" t="s">
        <v>2328</v>
      </c>
      <c r="AG293" s="12" t="s">
        <v>2206</v>
      </c>
      <c r="AH293" s="12" t="s">
        <v>2481</v>
      </c>
      <c r="AI293" s="12" t="s">
        <v>2147</v>
      </c>
      <c r="AJ293" s="12" t="s">
        <v>2482</v>
      </c>
      <c r="AU293" s="12" t="s">
        <v>246</v>
      </c>
      <c r="AV293" s="12" t="s">
        <v>246</v>
      </c>
      <c r="AW293" s="12" t="s">
        <v>246</v>
      </c>
    </row>
    <row r="294" spans="1:49" ht="13.35" customHeight="1" x14ac:dyDescent="0.2">
      <c r="A294" s="80" t="s">
        <v>4040</v>
      </c>
      <c r="B294" s="81" t="s">
        <v>4239</v>
      </c>
      <c r="E294" s="59" t="s">
        <v>2483</v>
      </c>
      <c r="F294" s="12">
        <v>33</v>
      </c>
      <c r="G294" s="12" t="s">
        <v>2229</v>
      </c>
      <c r="H294" s="12" t="s">
        <v>2484</v>
      </c>
      <c r="I294" s="12" t="s">
        <v>2485</v>
      </c>
      <c r="J294" s="12" t="s">
        <v>2486</v>
      </c>
      <c r="K294" s="12" t="s">
        <v>2487</v>
      </c>
      <c r="L294" s="12" t="s">
        <v>2321</v>
      </c>
      <c r="Y294" s="12" t="s">
        <v>2488</v>
      </c>
      <c r="Z294" s="12" t="s">
        <v>2179</v>
      </c>
      <c r="AA294" s="12" t="s">
        <v>2489</v>
      </c>
      <c r="AB294" s="12" t="s">
        <v>2128</v>
      </c>
      <c r="AC294" s="12" t="s">
        <v>2224</v>
      </c>
      <c r="AD294" s="12" t="s">
        <v>2490</v>
      </c>
      <c r="AE294" s="12" t="s">
        <v>2491</v>
      </c>
      <c r="AF294" s="12" t="s">
        <v>2044</v>
      </c>
      <c r="AG294" s="12" t="s">
        <v>2322</v>
      </c>
      <c r="AH294" s="12" t="s">
        <v>2107</v>
      </c>
      <c r="AU294" s="12" t="s">
        <v>246</v>
      </c>
      <c r="AV294" s="12" t="s">
        <v>246</v>
      </c>
      <c r="AW294" s="12" t="s">
        <v>246</v>
      </c>
    </row>
    <row r="295" spans="1:49" ht="13.35" customHeight="1" x14ac:dyDescent="0.2">
      <c r="A295" s="80" t="s">
        <v>4061</v>
      </c>
      <c r="B295" s="81" t="s">
        <v>4240</v>
      </c>
      <c r="E295" s="59" t="s">
        <v>2492</v>
      </c>
      <c r="F295" s="12">
        <v>69</v>
      </c>
      <c r="G295" s="12" t="s">
        <v>204</v>
      </c>
      <c r="H295" s="12" t="s">
        <v>2493</v>
      </c>
      <c r="I295" s="12" t="s">
        <v>2494</v>
      </c>
      <c r="J295" s="12" t="s">
        <v>2495</v>
      </c>
      <c r="K295" s="12" t="s">
        <v>2263</v>
      </c>
      <c r="L295" s="12" t="s">
        <v>2344</v>
      </c>
      <c r="M295" s="12" t="s">
        <v>2496</v>
      </c>
      <c r="Y295" s="12" t="s">
        <v>2065</v>
      </c>
      <c r="Z295" s="12" t="s">
        <v>2179</v>
      </c>
      <c r="AA295" s="12" t="s">
        <v>4617</v>
      </c>
      <c r="AB295" s="12" t="s">
        <v>4618</v>
      </c>
      <c r="AC295" s="12" t="s">
        <v>2497</v>
      </c>
      <c r="AD295" s="12" t="s">
        <v>2498</v>
      </c>
      <c r="AE295" s="12" t="s">
        <v>2227</v>
      </c>
      <c r="AF295" s="12" t="s">
        <v>2107</v>
      </c>
      <c r="AG295" s="12" t="s">
        <v>2130</v>
      </c>
      <c r="AH295" s="12" t="s">
        <v>2128</v>
      </c>
      <c r="AU295" s="12" t="s">
        <v>246</v>
      </c>
      <c r="AV295" s="12" t="s">
        <v>246</v>
      </c>
      <c r="AW295" s="12" t="s">
        <v>2499</v>
      </c>
    </row>
    <row r="296" spans="1:49" ht="13.35" customHeight="1" x14ac:dyDescent="0.2">
      <c r="A296" s="80" t="s">
        <v>4070</v>
      </c>
      <c r="B296" s="81" t="s">
        <v>4241</v>
      </c>
      <c r="E296" s="59" t="s">
        <v>2500</v>
      </c>
      <c r="F296" s="12">
        <v>26</v>
      </c>
      <c r="G296" s="12" t="s">
        <v>2229</v>
      </c>
      <c r="H296" s="12" t="s">
        <v>2501</v>
      </c>
      <c r="I296" s="12" t="s">
        <v>2502</v>
      </c>
      <c r="J296" s="12" t="s">
        <v>2503</v>
      </c>
      <c r="K296" s="12" t="s">
        <v>2504</v>
      </c>
      <c r="L296" s="12" t="s">
        <v>2344</v>
      </c>
      <c r="M296" s="12" t="s">
        <v>2505</v>
      </c>
      <c r="N296" s="12" t="s">
        <v>2506</v>
      </c>
      <c r="O296" s="12" t="s">
        <v>2506</v>
      </c>
      <c r="P296" s="12" t="s">
        <v>2506</v>
      </c>
      <c r="Q296" s="12" t="s">
        <v>2506</v>
      </c>
      <c r="R296" s="12" t="s">
        <v>2506</v>
      </c>
      <c r="S296" s="12" t="s">
        <v>2507</v>
      </c>
      <c r="Y296" s="12" t="s">
        <v>2404</v>
      </c>
      <c r="Z296" s="12" t="s">
        <v>2015</v>
      </c>
      <c r="AA296" s="12" t="s">
        <v>2292</v>
      </c>
      <c r="AB296" s="12" t="s">
        <v>2015</v>
      </c>
      <c r="AC296" s="12" t="s">
        <v>2085</v>
      </c>
      <c r="AD296" s="12" t="s">
        <v>2132</v>
      </c>
      <c r="AE296" s="12" t="s">
        <v>2324</v>
      </c>
      <c r="AF296" s="12" t="s">
        <v>2407</v>
      </c>
      <c r="AG296" s="12" t="s">
        <v>2255</v>
      </c>
      <c r="AH296" s="12" t="s">
        <v>2508</v>
      </c>
      <c r="AU296" s="12" t="s">
        <v>246</v>
      </c>
      <c r="AV296" s="12" t="s">
        <v>246</v>
      </c>
      <c r="AW296" s="12" t="s">
        <v>246</v>
      </c>
    </row>
    <row r="297" spans="1:49" ht="13.35" customHeight="1" x14ac:dyDescent="0.2">
      <c r="A297" s="80" t="s">
        <v>4243</v>
      </c>
      <c r="B297" s="81" t="s">
        <v>4242</v>
      </c>
      <c r="E297" s="59" t="s">
        <v>2509</v>
      </c>
      <c r="F297" s="12">
        <v>44</v>
      </c>
      <c r="G297" s="12" t="s">
        <v>2229</v>
      </c>
      <c r="H297" s="12" t="s">
        <v>2510</v>
      </c>
      <c r="I297" s="12" t="s">
        <v>2511</v>
      </c>
      <c r="J297" s="12" t="s">
        <v>2512</v>
      </c>
      <c r="K297" s="12" t="s">
        <v>2513</v>
      </c>
      <c r="L297" s="12" t="s">
        <v>2514</v>
      </c>
      <c r="M297" s="12" t="s">
        <v>2142</v>
      </c>
      <c r="Y297" s="12" t="s">
        <v>2212</v>
      </c>
      <c r="Z297" s="12" t="s">
        <v>2225</v>
      </c>
      <c r="AA297" s="12" t="s">
        <v>2103</v>
      </c>
      <c r="AB297" s="12" t="s">
        <v>2017</v>
      </c>
      <c r="AC297" s="12" t="s">
        <v>1997</v>
      </c>
      <c r="AD297" s="12" t="s">
        <v>2128</v>
      </c>
      <c r="AE297" s="12" t="s">
        <v>2081</v>
      </c>
      <c r="AF297" s="12" t="s">
        <v>2323</v>
      </c>
      <c r="AG297" s="12" t="s">
        <v>2497</v>
      </c>
      <c r="AH297" s="12" t="s">
        <v>2128</v>
      </c>
      <c r="AI297" s="12" t="s">
        <v>2199</v>
      </c>
      <c r="AJ297" s="12" t="s">
        <v>2128</v>
      </c>
      <c r="AU297" s="12" t="s">
        <v>246</v>
      </c>
      <c r="AV297" s="12" t="s">
        <v>246</v>
      </c>
      <c r="AW297" s="12" t="s">
        <v>246</v>
      </c>
    </row>
    <row r="298" spans="1:49" ht="13.35" customHeight="1" x14ac:dyDescent="0.2">
      <c r="A298" s="80" t="s">
        <v>4071</v>
      </c>
      <c r="B298" s="74"/>
      <c r="E298" s="59" t="s">
        <v>2515</v>
      </c>
      <c r="F298" s="12">
        <v>18</v>
      </c>
      <c r="G298" s="12" t="s">
        <v>204</v>
      </c>
      <c r="H298" s="12" t="s">
        <v>2516</v>
      </c>
      <c r="I298" s="12" t="s">
        <v>2517</v>
      </c>
      <c r="J298" s="12" t="s">
        <v>2518</v>
      </c>
      <c r="Y298" s="12" t="s">
        <v>2216</v>
      </c>
      <c r="Z298" s="12" t="s">
        <v>1992</v>
      </c>
      <c r="AA298" s="12" t="s">
        <v>2268</v>
      </c>
      <c r="AB298" s="12" t="s">
        <v>1994</v>
      </c>
      <c r="AC298" s="12" t="s">
        <v>2146</v>
      </c>
      <c r="AD298" s="12" t="s">
        <v>1998</v>
      </c>
      <c r="AE298" s="12" t="s">
        <v>2206</v>
      </c>
      <c r="AF298" s="12" t="s">
        <v>2107</v>
      </c>
      <c r="AG298" s="12" t="s">
        <v>2355</v>
      </c>
      <c r="AH298" s="12" t="s">
        <v>2356</v>
      </c>
      <c r="AU298" s="12" t="s">
        <v>246</v>
      </c>
      <c r="AV298" s="12" t="s">
        <v>246</v>
      </c>
      <c r="AW298" s="12" t="s">
        <v>246</v>
      </c>
    </row>
    <row r="299" spans="1:49" ht="13.35" customHeight="1" x14ac:dyDescent="0.2">
      <c r="A299" s="80" t="s">
        <v>4049</v>
      </c>
      <c r="B299" s="81" t="s">
        <v>4244</v>
      </c>
      <c r="E299" s="59" t="s">
        <v>2519</v>
      </c>
      <c r="F299" s="12">
        <v>95</v>
      </c>
      <c r="G299" s="12" t="s">
        <v>204</v>
      </c>
      <c r="H299" s="12" t="s">
        <v>2516</v>
      </c>
      <c r="I299" s="12" t="s">
        <v>2520</v>
      </c>
      <c r="J299" s="12" t="s">
        <v>2521</v>
      </c>
      <c r="K299" s="12" t="s">
        <v>2522</v>
      </c>
      <c r="L299" s="12" t="s">
        <v>2523</v>
      </c>
      <c r="Y299" s="12" t="s">
        <v>2524</v>
      </c>
      <c r="Z299" s="12" t="s">
        <v>2179</v>
      </c>
      <c r="AA299" s="12" t="s">
        <v>2216</v>
      </c>
      <c r="AB299" s="12" t="s">
        <v>1992</v>
      </c>
      <c r="AC299" s="12" t="s">
        <v>2268</v>
      </c>
      <c r="AD299" s="12" t="s">
        <v>1994</v>
      </c>
      <c r="AE299" s="12" t="s">
        <v>2146</v>
      </c>
      <c r="AF299" s="12" t="s">
        <v>1998</v>
      </c>
      <c r="AG299" s="12" t="s">
        <v>2488</v>
      </c>
      <c r="AH299" s="12" t="s">
        <v>2179</v>
      </c>
      <c r="AI299" s="12" t="s">
        <v>2355</v>
      </c>
      <c r="AJ299" s="12" t="s">
        <v>2356</v>
      </c>
      <c r="AK299" s="12" t="s">
        <v>2419</v>
      </c>
      <c r="AL299" s="12" t="s">
        <v>2179</v>
      </c>
      <c r="AU299" s="12" t="s">
        <v>246</v>
      </c>
      <c r="AV299" s="12" t="s">
        <v>246</v>
      </c>
      <c r="AW299" s="12" t="s">
        <v>215</v>
      </c>
    </row>
    <row r="300" spans="1:49" ht="13.35" customHeight="1" x14ac:dyDescent="0.2">
      <c r="A300" s="80" t="s">
        <v>4042</v>
      </c>
      <c r="B300" s="74" t="s">
        <v>4245</v>
      </c>
      <c r="E300" s="59" t="s">
        <v>2525</v>
      </c>
      <c r="F300" s="12">
        <v>76</v>
      </c>
      <c r="G300" s="12" t="s">
        <v>204</v>
      </c>
      <c r="H300" s="12" t="s">
        <v>2526</v>
      </c>
      <c r="I300" s="12" t="s">
        <v>2527</v>
      </c>
      <c r="J300" s="12" t="s">
        <v>2528</v>
      </c>
      <c r="K300" s="12" t="s">
        <v>2529</v>
      </c>
      <c r="L300" s="12" t="s">
        <v>2529</v>
      </c>
      <c r="M300" s="12" t="s">
        <v>2529</v>
      </c>
      <c r="N300" s="12" t="s">
        <v>2529</v>
      </c>
      <c r="O300" s="12" t="s">
        <v>2530</v>
      </c>
      <c r="Y300" s="12" t="s">
        <v>2180</v>
      </c>
      <c r="Z300" s="12" t="s">
        <v>2128</v>
      </c>
      <c r="AA300" s="12" t="s">
        <v>2531</v>
      </c>
      <c r="AB300" s="12" t="s">
        <v>2532</v>
      </c>
      <c r="AC300" s="12" t="s">
        <v>2533</v>
      </c>
      <c r="AD300" s="12" t="s">
        <v>2534</v>
      </c>
      <c r="AE300" s="12" t="s">
        <v>2181</v>
      </c>
      <c r="AF300" s="12" t="s">
        <v>2535</v>
      </c>
      <c r="AU300" s="12" t="s">
        <v>246</v>
      </c>
      <c r="AV300" s="12" t="s">
        <v>246</v>
      </c>
      <c r="AW300" s="12" t="s">
        <v>231</v>
      </c>
    </row>
    <row r="301" spans="1:49" ht="13.35" customHeight="1" x14ac:dyDescent="0.2">
      <c r="E301" s="59" t="s">
        <v>2536</v>
      </c>
      <c r="F301" s="12">
        <v>86</v>
      </c>
      <c r="G301" s="12" t="s">
        <v>204</v>
      </c>
      <c r="H301" s="12" t="s">
        <v>2537</v>
      </c>
      <c r="I301" s="12" t="s">
        <v>2538</v>
      </c>
      <c r="J301" s="12" t="s">
        <v>2539</v>
      </c>
      <c r="K301" s="12" t="s">
        <v>2540</v>
      </c>
      <c r="L301" s="12" t="s">
        <v>2541</v>
      </c>
      <c r="M301" s="12" t="s">
        <v>2542</v>
      </c>
      <c r="N301" s="12" t="s">
        <v>2543</v>
      </c>
      <c r="O301" s="12" t="s">
        <v>2544</v>
      </c>
      <c r="Y301" s="12" t="s">
        <v>2014</v>
      </c>
      <c r="Z301" s="12" t="s">
        <v>2128</v>
      </c>
      <c r="AA301" s="12" t="s">
        <v>2531</v>
      </c>
      <c r="AB301" s="12" t="s">
        <v>2545</v>
      </c>
      <c r="AC301" s="12" t="s">
        <v>2421</v>
      </c>
      <c r="AD301" s="12" t="s">
        <v>2157</v>
      </c>
      <c r="AE301" s="12" t="s">
        <v>2546</v>
      </c>
      <c r="AF301" s="12" t="s">
        <v>2547</v>
      </c>
      <c r="AG301" s="12" t="s">
        <v>2548</v>
      </c>
      <c r="AH301" s="12" t="s">
        <v>2128</v>
      </c>
      <c r="AI301" s="12" t="s">
        <v>2170</v>
      </c>
      <c r="AJ301" s="12" t="s">
        <v>2107</v>
      </c>
      <c r="AU301" s="12" t="s">
        <v>2549</v>
      </c>
      <c r="AV301" s="12" t="s">
        <v>246</v>
      </c>
      <c r="AW301" s="12" t="s">
        <v>2550</v>
      </c>
    </row>
    <row r="302" spans="1:49" ht="13.35" customHeight="1" x14ac:dyDescent="0.2">
      <c r="A302" s="12" t="s">
        <v>4276</v>
      </c>
      <c r="B302" s="12" t="s">
        <v>4918</v>
      </c>
      <c r="E302" s="59" t="s">
        <v>2551</v>
      </c>
      <c r="F302" s="12">
        <v>46</v>
      </c>
      <c r="G302" s="12" t="s">
        <v>204</v>
      </c>
      <c r="H302" s="12" t="s">
        <v>2552</v>
      </c>
      <c r="I302" s="12" t="s">
        <v>2553</v>
      </c>
      <c r="J302" s="12" t="s">
        <v>2554</v>
      </c>
      <c r="K302" s="12" t="s">
        <v>2555</v>
      </c>
      <c r="L302" s="12" t="s">
        <v>2556</v>
      </c>
      <c r="M302" s="12" t="s">
        <v>2557</v>
      </c>
      <c r="N302" s="12" t="s">
        <v>2558</v>
      </c>
      <c r="O302" s="12" t="s">
        <v>2559</v>
      </c>
      <c r="Y302" s="12" t="s">
        <v>2194</v>
      </c>
      <c r="Z302" s="12" t="s">
        <v>2560</v>
      </c>
      <c r="AA302" s="12" t="s">
        <v>2016</v>
      </c>
      <c r="AB302" s="12" t="s">
        <v>2561</v>
      </c>
      <c r="AC302" s="12" t="s">
        <v>2260</v>
      </c>
      <c r="AD302" s="12" t="s">
        <v>2562</v>
      </c>
      <c r="AE302" s="12" t="s">
        <v>2563</v>
      </c>
      <c r="AF302" s="12" t="s">
        <v>2564</v>
      </c>
      <c r="AU302" s="12" t="s">
        <v>246</v>
      </c>
      <c r="AV302" s="12" t="s">
        <v>565</v>
      </c>
      <c r="AW302" s="12" t="s">
        <v>246</v>
      </c>
    </row>
    <row r="303" spans="1:49" ht="13.35" customHeight="1" x14ac:dyDescent="0.2">
      <c r="A303" s="41">
        <v>0.435</v>
      </c>
      <c r="B303" s="12">
        <v>-45</v>
      </c>
      <c r="E303" s="59" t="s">
        <v>2565</v>
      </c>
      <c r="F303" s="12">
        <v>40</v>
      </c>
      <c r="G303" s="12" t="s">
        <v>204</v>
      </c>
      <c r="H303" s="12" t="s">
        <v>2566</v>
      </c>
      <c r="I303" s="12" t="s">
        <v>2567</v>
      </c>
      <c r="J303" s="12" t="s">
        <v>2568</v>
      </c>
      <c r="K303" s="12" t="s">
        <v>2569</v>
      </c>
      <c r="L303" s="12" t="s">
        <v>2570</v>
      </c>
      <c r="M303" s="12" t="s">
        <v>2571</v>
      </c>
      <c r="N303" s="12" t="s">
        <v>2572</v>
      </c>
      <c r="O303" s="12" t="s">
        <v>2573</v>
      </c>
      <c r="P303" s="12" t="s">
        <v>2574</v>
      </c>
      <c r="Q303" s="12" t="s">
        <v>2575</v>
      </c>
      <c r="Y303" s="12" t="s">
        <v>2194</v>
      </c>
      <c r="Z303" s="12" t="s">
        <v>2337</v>
      </c>
      <c r="AA303" s="12" t="s">
        <v>2085</v>
      </c>
      <c r="AC303" s="12" t="s">
        <v>2040</v>
      </c>
      <c r="AD303" s="12" t="s">
        <v>2576</v>
      </c>
      <c r="AE303" s="12" t="s">
        <v>2335</v>
      </c>
      <c r="AF303" s="12" t="s">
        <v>2091</v>
      </c>
      <c r="AG303" s="12" t="s">
        <v>2577</v>
      </c>
      <c r="AU303" s="12" t="s">
        <v>246</v>
      </c>
      <c r="AV303" s="12" t="s">
        <v>541</v>
      </c>
      <c r="AW303" s="12" t="s">
        <v>246</v>
      </c>
    </row>
    <row r="304" spans="1:49" ht="13.35" customHeight="1" x14ac:dyDescent="0.2">
      <c r="A304" s="41">
        <v>0.46040000000000003</v>
      </c>
      <c r="B304" s="12">
        <v>-45</v>
      </c>
      <c r="E304" s="59" t="s">
        <v>2578</v>
      </c>
      <c r="F304" s="12">
        <v>95</v>
      </c>
      <c r="G304" s="12" t="s">
        <v>204</v>
      </c>
      <c r="H304" s="12" t="s">
        <v>2579</v>
      </c>
      <c r="I304" s="12" t="s">
        <v>2579</v>
      </c>
      <c r="J304" s="12" t="s">
        <v>1982</v>
      </c>
      <c r="K304" s="12" t="s">
        <v>1982</v>
      </c>
      <c r="L304" s="12" t="s">
        <v>2142</v>
      </c>
      <c r="Y304" s="12" t="s">
        <v>2580</v>
      </c>
      <c r="Z304" s="12" t="s">
        <v>2581</v>
      </c>
      <c r="AA304" s="12" t="s">
        <v>2582</v>
      </c>
      <c r="AB304" s="12" t="s">
        <v>2225</v>
      </c>
      <c r="AC304" s="12" t="s">
        <v>2583</v>
      </c>
      <c r="AD304" s="12" t="s">
        <v>2179</v>
      </c>
      <c r="AE304" s="12" t="s">
        <v>2584</v>
      </c>
      <c r="AF304" s="12" t="s">
        <v>2585</v>
      </c>
      <c r="AG304" s="12" t="s">
        <v>2107</v>
      </c>
      <c r="AU304" s="12" t="s">
        <v>246</v>
      </c>
      <c r="AV304" s="12" t="s">
        <v>246</v>
      </c>
      <c r="AW304" s="12" t="s">
        <v>2396</v>
      </c>
    </row>
    <row r="305" spans="1:49" ht="13.35" customHeight="1" x14ac:dyDescent="0.2">
      <c r="A305" s="41">
        <v>0.48580000000000001</v>
      </c>
      <c r="B305" s="12">
        <v>-45</v>
      </c>
      <c r="E305" s="59" t="s">
        <v>2586</v>
      </c>
      <c r="F305" s="12">
        <v>37</v>
      </c>
      <c r="G305" s="12" t="s">
        <v>204</v>
      </c>
      <c r="H305" s="12" t="s">
        <v>2587</v>
      </c>
      <c r="I305" s="12" t="s">
        <v>2588</v>
      </c>
      <c r="J305" s="12" t="s">
        <v>2589</v>
      </c>
      <c r="K305" s="12" t="s">
        <v>2590</v>
      </c>
      <c r="L305" s="12" t="s">
        <v>2591</v>
      </c>
      <c r="M305" s="12" t="s">
        <v>2592</v>
      </c>
      <c r="N305" s="12" t="s">
        <v>2593</v>
      </c>
      <c r="Y305" s="12" t="s">
        <v>2146</v>
      </c>
      <c r="Z305" s="12" t="s">
        <v>1998</v>
      </c>
      <c r="AA305" s="12" t="s">
        <v>2326</v>
      </c>
      <c r="AB305" s="12" t="s">
        <v>2179</v>
      </c>
      <c r="AC305" s="12" t="s">
        <v>2206</v>
      </c>
      <c r="AD305" s="12" t="s">
        <v>2128</v>
      </c>
      <c r="AE305" s="12" t="s">
        <v>2147</v>
      </c>
      <c r="AF305" s="12" t="s">
        <v>2482</v>
      </c>
      <c r="AG305" s="12" t="s">
        <v>2594</v>
      </c>
      <c r="AH305" s="12" t="s">
        <v>2322</v>
      </c>
      <c r="AI305" s="12" t="s">
        <v>2117</v>
      </c>
      <c r="AU305" s="12" t="s">
        <v>246</v>
      </c>
      <c r="AV305" s="12" t="s">
        <v>246</v>
      </c>
      <c r="AW305" s="12" t="s">
        <v>246</v>
      </c>
    </row>
    <row r="306" spans="1:49" ht="13.35" customHeight="1" x14ac:dyDescent="0.2">
      <c r="A306" s="41">
        <v>0.51119999999999999</v>
      </c>
      <c r="B306" s="12">
        <v>-45</v>
      </c>
      <c r="E306" s="59" t="s">
        <v>2595</v>
      </c>
      <c r="F306" s="12">
        <v>30</v>
      </c>
      <c r="G306" s="12" t="s">
        <v>204</v>
      </c>
      <c r="H306" s="12" t="s">
        <v>2596</v>
      </c>
      <c r="I306" s="12" t="s">
        <v>2597</v>
      </c>
      <c r="J306" s="12" t="s">
        <v>2598</v>
      </c>
      <c r="K306" s="12" t="s">
        <v>2599</v>
      </c>
      <c r="L306" s="12" t="s">
        <v>2600</v>
      </c>
      <c r="M306" s="12" t="s">
        <v>2601</v>
      </c>
      <c r="N306" s="12" t="s">
        <v>2602</v>
      </c>
      <c r="O306" s="12" t="s">
        <v>2603</v>
      </c>
      <c r="P306" s="12" t="s">
        <v>2604</v>
      </c>
      <c r="Q306" s="12" t="s">
        <v>2605</v>
      </c>
      <c r="R306" s="12" t="s">
        <v>2606</v>
      </c>
      <c r="Y306" s="12" t="s">
        <v>2379</v>
      </c>
      <c r="Z306" s="12" t="s">
        <v>2128</v>
      </c>
      <c r="AA306" s="12" t="s">
        <v>2226</v>
      </c>
      <c r="AB306" s="12" t="s">
        <v>2607</v>
      </c>
      <c r="AC306" s="12" t="s">
        <v>2608</v>
      </c>
      <c r="AD306" s="12" t="s">
        <v>2083</v>
      </c>
      <c r="AE306" s="12" t="s">
        <v>2368</v>
      </c>
      <c r="AF306" s="12" t="s">
        <v>2199</v>
      </c>
      <c r="AG306" s="12" t="s">
        <v>2609</v>
      </c>
      <c r="AH306" s="12" t="s">
        <v>2610</v>
      </c>
      <c r="AI306" s="12" t="s">
        <v>2107</v>
      </c>
      <c r="AJ306" s="12" t="s">
        <v>2085</v>
      </c>
      <c r="AK306" s="12" t="s">
        <v>2128</v>
      </c>
      <c r="AL306" s="12" t="s">
        <v>2533</v>
      </c>
      <c r="AM306" s="12" t="s">
        <v>2611</v>
      </c>
      <c r="AN306" s="12" t="s">
        <v>2531</v>
      </c>
      <c r="AO306" s="12" t="s">
        <v>2612</v>
      </c>
      <c r="AP306" s="12" t="s">
        <v>2180</v>
      </c>
      <c r="AQ306" s="12" t="s">
        <v>2613</v>
      </c>
      <c r="AU306" s="12" t="s">
        <v>2614</v>
      </c>
      <c r="AV306" s="12" t="s">
        <v>2615</v>
      </c>
      <c r="AW306" s="12" t="s">
        <v>246</v>
      </c>
    </row>
    <row r="307" spans="1:49" ht="13.35" customHeight="1" x14ac:dyDescent="0.2">
      <c r="A307" s="41">
        <v>0.53660000000000008</v>
      </c>
      <c r="B307" s="12">
        <v>-45</v>
      </c>
      <c r="E307" s="59" t="s">
        <v>2616</v>
      </c>
      <c r="F307" s="12">
        <v>56</v>
      </c>
      <c r="G307" s="12" t="s">
        <v>204</v>
      </c>
      <c r="H307" s="12" t="s">
        <v>2617</v>
      </c>
      <c r="I307" s="12" t="s">
        <v>2618</v>
      </c>
      <c r="J307" s="12" t="s">
        <v>2619</v>
      </c>
      <c r="K307" s="12" t="s">
        <v>2620</v>
      </c>
      <c r="L307" s="12" t="s">
        <v>2621</v>
      </c>
      <c r="M307" s="12" t="s">
        <v>2622</v>
      </c>
      <c r="N307" s="12" t="s">
        <v>2623</v>
      </c>
      <c r="O307" s="12" t="s">
        <v>2624</v>
      </c>
      <c r="P307" s="12" t="s">
        <v>2625</v>
      </c>
      <c r="Y307" s="12" t="s">
        <v>2194</v>
      </c>
      <c r="Z307" s="12" t="s">
        <v>2310</v>
      </c>
      <c r="AA307" s="12" t="s">
        <v>2085</v>
      </c>
      <c r="AB307" s="12" t="s">
        <v>2626</v>
      </c>
      <c r="AC307" s="12" t="s">
        <v>2627</v>
      </c>
      <c r="AD307" s="12" t="s">
        <v>2254</v>
      </c>
      <c r="AE307" s="12" t="s">
        <v>2563</v>
      </c>
      <c r="AF307" s="12" t="s">
        <v>2628</v>
      </c>
      <c r="AU307" s="12" t="s">
        <v>246</v>
      </c>
      <c r="AV307" s="12" t="s">
        <v>2629</v>
      </c>
      <c r="AW307" s="12" t="s">
        <v>246</v>
      </c>
    </row>
    <row r="308" spans="1:49" ht="13.35" customHeight="1" x14ac:dyDescent="0.2">
      <c r="A308" s="41">
        <v>0.56200000000000017</v>
      </c>
      <c r="B308" s="12">
        <v>-45</v>
      </c>
      <c r="E308" s="59" t="s">
        <v>2630</v>
      </c>
      <c r="F308" s="12">
        <v>104</v>
      </c>
      <c r="G308" s="12" t="s">
        <v>1981</v>
      </c>
      <c r="H308" s="12" t="s">
        <v>2631</v>
      </c>
      <c r="I308" s="12" t="s">
        <v>2632</v>
      </c>
      <c r="J308" s="12" t="s">
        <v>2633</v>
      </c>
      <c r="K308" s="12" t="s">
        <v>2634</v>
      </c>
      <c r="L308" s="12" t="s">
        <v>2635</v>
      </c>
      <c r="M308" s="12" t="s">
        <v>2636</v>
      </c>
      <c r="N308" s="12" t="s">
        <v>2637</v>
      </c>
      <c r="O308" s="12" t="s">
        <v>2638</v>
      </c>
      <c r="P308" s="12" t="s">
        <v>2639</v>
      </c>
      <c r="Q308" s="12" t="s">
        <v>2640</v>
      </c>
      <c r="Y308" s="12" t="s">
        <v>2524</v>
      </c>
      <c r="Z308" s="12" t="s">
        <v>2641</v>
      </c>
      <c r="AA308" s="12" t="s">
        <v>2155</v>
      </c>
      <c r="AB308" s="12" t="s">
        <v>2017</v>
      </c>
      <c r="AC308" s="12" t="s">
        <v>2642</v>
      </c>
      <c r="AD308" s="12" t="s">
        <v>2107</v>
      </c>
      <c r="AE308" s="12" t="s">
        <v>2206</v>
      </c>
      <c r="AF308" s="12" t="s">
        <v>2128</v>
      </c>
      <c r="AG308" s="12" t="s">
        <v>2643</v>
      </c>
      <c r="AH308" s="12" t="s">
        <v>2644</v>
      </c>
      <c r="AI308" s="12" t="s">
        <v>2192</v>
      </c>
      <c r="AJ308" s="12" t="s">
        <v>2641</v>
      </c>
      <c r="AU308" s="12" t="s">
        <v>246</v>
      </c>
      <c r="AV308" s="12" t="s">
        <v>246</v>
      </c>
      <c r="AW308" s="12" t="s">
        <v>246</v>
      </c>
    </row>
    <row r="309" spans="1:49" ht="13.35" customHeight="1" x14ac:dyDescent="0.2">
      <c r="A309" s="41">
        <v>0.58739999999999992</v>
      </c>
      <c r="B309" s="12">
        <v>-40</v>
      </c>
      <c r="E309" s="59" t="s">
        <v>2645</v>
      </c>
      <c r="F309" s="12">
        <v>57</v>
      </c>
      <c r="G309" s="12" t="s">
        <v>204</v>
      </c>
      <c r="H309" s="12" t="s">
        <v>2646</v>
      </c>
      <c r="I309" s="12" t="s">
        <v>2222</v>
      </c>
      <c r="J309" s="12" t="s">
        <v>2647</v>
      </c>
      <c r="K309" s="12" t="s">
        <v>2648</v>
      </c>
      <c r="L309" s="12" t="s">
        <v>2649</v>
      </c>
      <c r="M309" s="12" t="s">
        <v>2650</v>
      </c>
      <c r="N309" s="12" t="s">
        <v>2649</v>
      </c>
      <c r="O309" s="12" t="s">
        <v>2651</v>
      </c>
      <c r="P309" s="12" t="s">
        <v>2652</v>
      </c>
      <c r="Y309" s="12" t="s">
        <v>2497</v>
      </c>
      <c r="Z309" s="12" t="s">
        <v>2653</v>
      </c>
      <c r="AA309" s="12" t="s">
        <v>2083</v>
      </c>
      <c r="AB309" s="12" t="s">
        <v>2654</v>
      </c>
      <c r="AC309" s="12" t="s">
        <v>2227</v>
      </c>
      <c r="AD309" s="12" t="s">
        <v>2655</v>
      </c>
      <c r="AE309" s="12" t="s">
        <v>2326</v>
      </c>
      <c r="AF309" s="12" t="s">
        <v>2368</v>
      </c>
      <c r="AH309" s="12" t="s">
        <v>2016</v>
      </c>
      <c r="AI309" s="12" t="s">
        <v>2107</v>
      </c>
      <c r="AJ309" s="12" t="s">
        <v>2421</v>
      </c>
      <c r="AK309" s="12" t="s">
        <v>2656</v>
      </c>
      <c r="AU309" s="12" t="s">
        <v>246</v>
      </c>
      <c r="AV309" s="12" t="s">
        <v>610</v>
      </c>
      <c r="AW309" s="12" t="s">
        <v>246</v>
      </c>
    </row>
    <row r="310" spans="1:49" ht="13.35" customHeight="1" x14ac:dyDescent="0.2">
      <c r="A310" s="41">
        <v>0.6127999999999999</v>
      </c>
      <c r="B310" s="12">
        <v>-40</v>
      </c>
      <c r="E310" s="59" t="s">
        <v>2657</v>
      </c>
      <c r="F310" s="12">
        <v>42</v>
      </c>
      <c r="G310" s="12" t="s">
        <v>204</v>
      </c>
      <c r="H310" s="12" t="s">
        <v>2658</v>
      </c>
      <c r="I310" s="12" t="s">
        <v>2659</v>
      </c>
      <c r="J310" s="12" t="s">
        <v>2660</v>
      </c>
      <c r="K310" s="12" t="s">
        <v>2661</v>
      </c>
      <c r="L310" s="12" t="s">
        <v>2661</v>
      </c>
      <c r="M310" s="12" t="s">
        <v>2662</v>
      </c>
      <c r="N310" s="12" t="s">
        <v>2663</v>
      </c>
      <c r="O310" s="12" t="s">
        <v>2664</v>
      </c>
      <c r="Y310" s="12" t="s">
        <v>2083</v>
      </c>
      <c r="Z310" s="12" t="s">
        <v>2282</v>
      </c>
      <c r="AA310" s="12" t="s">
        <v>2085</v>
      </c>
      <c r="AB310" s="12" t="s">
        <v>2665</v>
      </c>
      <c r="AC310" s="12" t="s">
        <v>2666</v>
      </c>
      <c r="AD310" s="12" t="s">
        <v>2667</v>
      </c>
      <c r="AE310" s="12" t="s">
        <v>2563</v>
      </c>
      <c r="AF310" s="12" t="s">
        <v>2668</v>
      </c>
      <c r="AU310" s="12" t="s">
        <v>246</v>
      </c>
      <c r="AV310" s="12" t="s">
        <v>246</v>
      </c>
      <c r="AW310" s="12" t="s">
        <v>246</v>
      </c>
    </row>
    <row r="311" spans="1:49" ht="13.35" customHeight="1" x14ac:dyDescent="0.2">
      <c r="A311" s="41">
        <v>0.6382000000000001</v>
      </c>
      <c r="B311" s="12">
        <v>-40</v>
      </c>
      <c r="E311" s="59" t="s">
        <v>2669</v>
      </c>
      <c r="F311" s="12">
        <v>39</v>
      </c>
      <c r="G311" s="12" t="s">
        <v>204</v>
      </c>
      <c r="H311" s="12" t="s">
        <v>2670</v>
      </c>
      <c r="I311" s="12" t="s">
        <v>2671</v>
      </c>
      <c r="J311" s="12" t="s">
        <v>2672</v>
      </c>
      <c r="K311" s="12" t="s">
        <v>2673</v>
      </c>
      <c r="L311" s="12" t="s">
        <v>2674</v>
      </c>
      <c r="M311" s="12" t="s">
        <v>2675</v>
      </c>
      <c r="N311" s="12" t="s">
        <v>2676</v>
      </c>
      <c r="O311" s="12" t="s">
        <v>2677</v>
      </c>
      <c r="P311" s="12" t="s">
        <v>2678</v>
      </c>
      <c r="Y311" s="12" t="s">
        <v>2016</v>
      </c>
      <c r="Z311" s="12" t="s">
        <v>2312</v>
      </c>
      <c r="AA311" s="12" t="s">
        <v>2087</v>
      </c>
      <c r="AB311" s="12" t="s">
        <v>2666</v>
      </c>
      <c r="AC311" s="12" t="s">
        <v>2679</v>
      </c>
      <c r="AD311" s="12" t="s">
        <v>2680</v>
      </c>
      <c r="AE311" s="12" t="s">
        <v>2681</v>
      </c>
      <c r="AU311" s="12" t="s">
        <v>2682</v>
      </c>
      <c r="AV311" s="12" t="s">
        <v>614</v>
      </c>
      <c r="AW311" s="12" t="s">
        <v>246</v>
      </c>
    </row>
    <row r="312" spans="1:49" ht="13.35" customHeight="1" x14ac:dyDescent="0.2">
      <c r="A312" s="41">
        <v>0.66360000000000008</v>
      </c>
      <c r="B312" s="12">
        <v>-40</v>
      </c>
      <c r="E312" s="59" t="s">
        <v>2683</v>
      </c>
      <c r="F312" s="12">
        <v>114</v>
      </c>
      <c r="G312" s="12" t="s">
        <v>204</v>
      </c>
      <c r="H312" s="12" t="s">
        <v>2684</v>
      </c>
      <c r="I312" s="12" t="s">
        <v>2685</v>
      </c>
      <c r="J312" s="12" t="s">
        <v>2686</v>
      </c>
      <c r="K312" s="12" t="s">
        <v>2687</v>
      </c>
      <c r="L312" s="12" t="s">
        <v>2688</v>
      </c>
      <c r="M312" s="12" t="s">
        <v>2689</v>
      </c>
      <c r="N312" s="12" t="s">
        <v>2690</v>
      </c>
      <c r="O312" s="12" t="s">
        <v>2013</v>
      </c>
      <c r="Y312" s="12" t="s">
        <v>2226</v>
      </c>
      <c r="Z312" s="12" t="s">
        <v>2691</v>
      </c>
      <c r="AA312" s="12" t="s">
        <v>2227</v>
      </c>
      <c r="AB312" s="12" t="s">
        <v>2692</v>
      </c>
      <c r="AC312" s="12" t="s">
        <v>2130</v>
      </c>
      <c r="AD312" s="12" t="s">
        <v>2128</v>
      </c>
      <c r="AE312" s="12" t="s">
        <v>2367</v>
      </c>
      <c r="AF312" s="12" t="s">
        <v>2179</v>
      </c>
      <c r="AG312" s="12" t="s">
        <v>2366</v>
      </c>
      <c r="AH312" s="12" t="s">
        <v>2107</v>
      </c>
      <c r="AI312" s="12" t="s">
        <v>2531</v>
      </c>
      <c r="AJ312" s="12" t="s">
        <v>2000</v>
      </c>
      <c r="AK312" s="12" t="s">
        <v>2693</v>
      </c>
      <c r="AL312" s="12" t="s">
        <v>2694</v>
      </c>
      <c r="AM312" s="12" t="s">
        <v>2695</v>
      </c>
      <c r="AU312" s="12" t="s">
        <v>2696</v>
      </c>
      <c r="AV312" s="12" t="s">
        <v>610</v>
      </c>
      <c r="AW312" s="12" t="s">
        <v>246</v>
      </c>
    </row>
    <row r="313" spans="1:49" ht="13.35" customHeight="1" x14ac:dyDescent="0.2">
      <c r="A313" s="41">
        <v>0.68900000000000017</v>
      </c>
      <c r="B313" s="12">
        <v>-40</v>
      </c>
      <c r="E313" s="59" t="s">
        <v>2697</v>
      </c>
      <c r="F313" s="12">
        <v>105</v>
      </c>
      <c r="G313" s="12" t="s">
        <v>204</v>
      </c>
      <c r="H313" s="12" t="s">
        <v>2698</v>
      </c>
      <c r="I313" s="12" t="s">
        <v>2699</v>
      </c>
      <c r="J313" s="12" t="s">
        <v>2700</v>
      </c>
      <c r="K313" s="12" t="s">
        <v>2701</v>
      </c>
      <c r="L313" s="12" t="s">
        <v>2702</v>
      </c>
      <c r="M313" s="12" t="s">
        <v>2703</v>
      </c>
      <c r="N313" s="12" t="s">
        <v>2704</v>
      </c>
      <c r="O313" s="12" t="s">
        <v>2544</v>
      </c>
      <c r="Y313" s="12" t="s">
        <v>2705</v>
      </c>
      <c r="Z313" s="12" t="s">
        <v>2706</v>
      </c>
      <c r="AA313" s="12" t="s">
        <v>2466</v>
      </c>
      <c r="AB313" s="12" t="s">
        <v>2641</v>
      </c>
      <c r="AC313" s="12" t="s">
        <v>2458</v>
      </c>
      <c r="AD313" s="12" t="s">
        <v>2656</v>
      </c>
      <c r="AE313" s="12" t="s">
        <v>2546</v>
      </c>
      <c r="AF313" s="12" t="s">
        <v>2707</v>
      </c>
      <c r="AG313" s="12" t="s">
        <v>2708</v>
      </c>
      <c r="AH313" s="12" t="s">
        <v>2015</v>
      </c>
      <c r="AU313" s="12" t="s">
        <v>2549</v>
      </c>
      <c r="AV313" s="12" t="s">
        <v>246</v>
      </c>
      <c r="AW313" s="12" t="s">
        <v>246</v>
      </c>
    </row>
    <row r="314" spans="1:49" ht="13.35" customHeight="1" x14ac:dyDescent="0.2">
      <c r="A314" s="41">
        <v>0.71440000000000026</v>
      </c>
      <c r="B314" s="12">
        <v>-35</v>
      </c>
      <c r="E314" s="59" t="s">
        <v>2709</v>
      </c>
      <c r="F314" s="12">
        <v>64</v>
      </c>
      <c r="G314" s="12" t="s">
        <v>204</v>
      </c>
      <c r="H314" s="12" t="s">
        <v>2710</v>
      </c>
      <c r="I314" s="12" t="s">
        <v>2711</v>
      </c>
      <c r="J314" s="12" t="s">
        <v>2632</v>
      </c>
      <c r="K314" s="12" t="s">
        <v>2712</v>
      </c>
      <c r="L314" s="12" t="s">
        <v>2713</v>
      </c>
      <c r="M314" s="12" t="s">
        <v>2631</v>
      </c>
      <c r="N314" s="12" t="s">
        <v>2714</v>
      </c>
      <c r="O314" s="12" t="s">
        <v>2715</v>
      </c>
      <c r="Y314" s="12" t="s">
        <v>2716</v>
      </c>
      <c r="Z314" s="12" t="s">
        <v>2167</v>
      </c>
      <c r="AA314" s="12" t="s">
        <v>2717</v>
      </c>
      <c r="AB314" s="12" t="s">
        <v>2718</v>
      </c>
      <c r="AC314" s="12" t="s">
        <v>2039</v>
      </c>
      <c r="AD314" s="12" t="s">
        <v>2719</v>
      </c>
      <c r="AE314" s="12" t="s">
        <v>2720</v>
      </c>
      <c r="AF314" s="12" t="s">
        <v>2721</v>
      </c>
      <c r="AG314" s="12" t="s">
        <v>1999</v>
      </c>
      <c r="AH314" s="12" t="s">
        <v>2722</v>
      </c>
      <c r="AI314" s="12" t="s">
        <v>2180</v>
      </c>
      <c r="AJ314" s="12" t="s">
        <v>4319</v>
      </c>
      <c r="AK314" s="12" t="s">
        <v>2723</v>
      </c>
      <c r="AL314" s="12" t="s">
        <v>2724</v>
      </c>
      <c r="AM314" s="12" t="s">
        <v>2725</v>
      </c>
      <c r="AN314" s="12" t="s">
        <v>2260</v>
      </c>
      <c r="AO314" s="12" t="s">
        <v>2726</v>
      </c>
      <c r="AU314" s="12" t="s">
        <v>2727</v>
      </c>
      <c r="AV314" s="12" t="s">
        <v>1671</v>
      </c>
      <c r="AW314" s="12" t="s">
        <v>246</v>
      </c>
    </row>
    <row r="315" spans="1:49" ht="13.35" customHeight="1" x14ac:dyDescent="0.2">
      <c r="A315" s="41">
        <v>0.73980000000000024</v>
      </c>
      <c r="B315" s="12">
        <v>-35</v>
      </c>
      <c r="E315" s="59" t="s">
        <v>2728</v>
      </c>
      <c r="F315" s="12">
        <v>129</v>
      </c>
      <c r="G315" s="12" t="s">
        <v>2229</v>
      </c>
      <c r="H315" s="12" t="s">
        <v>2729</v>
      </c>
      <c r="I315" s="12" t="s">
        <v>2730</v>
      </c>
      <c r="J315" s="12" t="s">
        <v>2731</v>
      </c>
      <c r="K315" s="12" t="s">
        <v>2732</v>
      </c>
      <c r="L315" s="12" t="s">
        <v>2733</v>
      </c>
      <c r="M315" s="12" t="s">
        <v>2734</v>
      </c>
      <c r="N315" s="12" t="s">
        <v>2735</v>
      </c>
      <c r="O315" s="12" t="s">
        <v>2736</v>
      </c>
      <c r="Y315" s="12" t="s">
        <v>2226</v>
      </c>
      <c r="Z315" s="12" t="s">
        <v>2737</v>
      </c>
      <c r="AA315" s="12" t="s">
        <v>2130</v>
      </c>
      <c r="AB315" s="12" t="s">
        <v>2738</v>
      </c>
      <c r="AC315" s="12" t="s">
        <v>2739</v>
      </c>
      <c r="AD315" s="12" t="s">
        <v>2178</v>
      </c>
      <c r="AE315" s="12" t="s">
        <v>2740</v>
      </c>
      <c r="AF315" s="12" t="s">
        <v>2128</v>
      </c>
      <c r="AG315" s="12" t="s">
        <v>2436</v>
      </c>
      <c r="AH315" s="12" t="s">
        <v>2128</v>
      </c>
      <c r="AI315" s="12" t="s">
        <v>1999</v>
      </c>
      <c r="AJ315" s="12" t="s">
        <v>4322</v>
      </c>
      <c r="AK315" s="12" t="s">
        <v>2723</v>
      </c>
      <c r="AL315" s="12" t="s">
        <v>2741</v>
      </c>
      <c r="AM315" s="12" t="s">
        <v>2204</v>
      </c>
      <c r="AN315" s="12" t="s">
        <v>2107</v>
      </c>
      <c r="AU315" s="12" t="s">
        <v>246</v>
      </c>
      <c r="AV315" s="12" t="s">
        <v>2742</v>
      </c>
      <c r="AW315" s="12" t="s">
        <v>223</v>
      </c>
    </row>
    <row r="316" spans="1:49" ht="13.35" customHeight="1" x14ac:dyDescent="0.2">
      <c r="A316" s="41">
        <v>0.76520000000000021</v>
      </c>
      <c r="B316" s="12">
        <v>-35</v>
      </c>
      <c r="E316" s="59" t="s">
        <v>2743</v>
      </c>
      <c r="F316" s="12">
        <v>55</v>
      </c>
      <c r="G316" s="12" t="s">
        <v>204</v>
      </c>
      <c r="H316" s="12" t="s">
        <v>2744</v>
      </c>
      <c r="I316" s="12" t="s">
        <v>2745</v>
      </c>
      <c r="J316" s="12" t="s">
        <v>2746</v>
      </c>
      <c r="K316" s="12" t="s">
        <v>2747</v>
      </c>
      <c r="L316" s="12" t="s">
        <v>2748</v>
      </c>
      <c r="Y316" s="12" t="s">
        <v>2749</v>
      </c>
      <c r="Z316" s="12" t="s">
        <v>2750</v>
      </c>
      <c r="AA316" s="12" t="s">
        <v>1998</v>
      </c>
      <c r="AB316" s="12" t="s">
        <v>2167</v>
      </c>
      <c r="AC316" s="12" t="s">
        <v>2751</v>
      </c>
      <c r="AD316" s="12" t="s">
        <v>2752</v>
      </c>
      <c r="AE316" s="12" t="s">
        <v>2130</v>
      </c>
      <c r="AF316" s="12" t="s">
        <v>2738</v>
      </c>
      <c r="AG316" s="12" t="s">
        <v>2739</v>
      </c>
      <c r="AH316" s="12" t="s">
        <v>2531</v>
      </c>
      <c r="AI316" s="12" t="s">
        <v>4322</v>
      </c>
      <c r="AJ316" s="12" t="s">
        <v>2170</v>
      </c>
      <c r="AK316" s="12" t="s">
        <v>2753</v>
      </c>
      <c r="AL316" s="12" t="s">
        <v>2322</v>
      </c>
      <c r="AM316" s="12" t="s">
        <v>2107</v>
      </c>
      <c r="AU316" s="12" t="s">
        <v>246</v>
      </c>
      <c r="AV316" s="12" t="s">
        <v>246</v>
      </c>
      <c r="AW316" s="12" t="s">
        <v>246</v>
      </c>
    </row>
    <row r="317" spans="1:49" ht="13.35" customHeight="1" x14ac:dyDescent="0.2">
      <c r="A317" s="41">
        <v>0.7906000000000003</v>
      </c>
      <c r="B317" s="12">
        <v>-35</v>
      </c>
      <c r="E317" s="59" t="s">
        <v>2754</v>
      </c>
      <c r="F317" s="12">
        <v>51</v>
      </c>
      <c r="G317" s="12" t="s">
        <v>204</v>
      </c>
      <c r="H317" s="12" t="s">
        <v>2755</v>
      </c>
      <c r="I317" s="12" t="s">
        <v>2756</v>
      </c>
      <c r="J317" s="12" t="s">
        <v>2757</v>
      </c>
      <c r="K317" s="12" t="s">
        <v>2251</v>
      </c>
      <c r="L317" s="12" t="s">
        <v>2758</v>
      </c>
      <c r="M317" s="12" t="s">
        <v>2759</v>
      </c>
      <c r="N317" s="12" t="s">
        <v>2760</v>
      </c>
      <c r="O317" s="12" t="s">
        <v>2761</v>
      </c>
      <c r="P317" s="12" t="s">
        <v>2762</v>
      </c>
      <c r="Y317" s="12" t="s">
        <v>2524</v>
      </c>
      <c r="Z317" s="12" t="s">
        <v>2719</v>
      </c>
      <c r="AA317" s="12" t="s">
        <v>2739</v>
      </c>
      <c r="AB317" s="12" t="s">
        <v>2533</v>
      </c>
      <c r="AC317" s="12" t="s">
        <v>2763</v>
      </c>
      <c r="AD317" s="12" t="s">
        <v>2764</v>
      </c>
      <c r="AE317" s="12" t="s">
        <v>2765</v>
      </c>
      <c r="AF317" s="12" t="s">
        <v>2548</v>
      </c>
      <c r="AG317" s="12" t="s">
        <v>2766</v>
      </c>
      <c r="AH317" s="12" t="s">
        <v>2767</v>
      </c>
      <c r="AI317" s="12" t="s">
        <v>2768</v>
      </c>
      <c r="AJ317" s="12" t="s">
        <v>2769</v>
      </c>
      <c r="AK317" s="12" t="s">
        <v>2257</v>
      </c>
      <c r="AL317" s="12" t="s">
        <v>2133</v>
      </c>
      <c r="AM317" s="12" t="s">
        <v>2312</v>
      </c>
      <c r="AU317" s="12" t="s">
        <v>246</v>
      </c>
      <c r="AV317" s="12" t="s">
        <v>246</v>
      </c>
      <c r="AW317" s="12" t="s">
        <v>246</v>
      </c>
    </row>
    <row r="318" spans="1:49" ht="13.35" customHeight="1" x14ac:dyDescent="0.2">
      <c r="A318" s="41">
        <v>0.8160000000000005</v>
      </c>
      <c r="B318" s="12">
        <v>-35</v>
      </c>
      <c r="E318" s="59" t="s">
        <v>2770</v>
      </c>
      <c r="F318" s="12">
        <v>127</v>
      </c>
      <c r="G318" s="12" t="s">
        <v>204</v>
      </c>
      <c r="H318" s="12" t="s">
        <v>2771</v>
      </c>
      <c r="I318" s="12" t="s">
        <v>2772</v>
      </c>
      <c r="J318" s="12" t="s">
        <v>2631</v>
      </c>
      <c r="K318" s="12" t="s">
        <v>2454</v>
      </c>
      <c r="L318" s="12" t="s">
        <v>2773</v>
      </c>
      <c r="M318" s="12" t="s">
        <v>2774</v>
      </c>
      <c r="Y318" s="12" t="s">
        <v>2524</v>
      </c>
      <c r="Z318" s="12" t="s">
        <v>2775</v>
      </c>
      <c r="AA318" s="12" t="s">
        <v>2720</v>
      </c>
      <c r="AB318" s="12" t="s">
        <v>2739</v>
      </c>
      <c r="AC318" s="12" t="s">
        <v>2018</v>
      </c>
      <c r="AD318" s="12" t="s">
        <v>2612</v>
      </c>
      <c r="AE318" s="12" t="s">
        <v>2180</v>
      </c>
      <c r="AF318" s="12" t="s">
        <v>4320</v>
      </c>
      <c r="AG318" s="12" t="s">
        <v>2112</v>
      </c>
      <c r="AH318" s="12" t="s">
        <v>2776</v>
      </c>
      <c r="AI318" s="12" t="s">
        <v>2777</v>
      </c>
      <c r="AJ318" s="12" t="s">
        <v>2778</v>
      </c>
      <c r="AK318" s="12" t="s">
        <v>2779</v>
      </c>
      <c r="AL318" s="12" t="s">
        <v>2764</v>
      </c>
      <c r="AM318" s="12" t="s">
        <v>2780</v>
      </c>
      <c r="AN318" s="12" t="s">
        <v>2741</v>
      </c>
      <c r="AU318" s="12" t="s">
        <v>2781</v>
      </c>
      <c r="AV318" s="12" t="s">
        <v>631</v>
      </c>
      <c r="AW318" s="12" t="s">
        <v>246</v>
      </c>
    </row>
    <row r="319" spans="1:49" ht="13.35" customHeight="1" x14ac:dyDescent="0.2">
      <c r="A319" s="41">
        <v>0.84140000000000037</v>
      </c>
      <c r="B319" s="12">
        <v>-35</v>
      </c>
      <c r="E319" s="59" t="s">
        <v>2782</v>
      </c>
      <c r="F319" s="12">
        <v>63</v>
      </c>
      <c r="G319" s="12" t="s">
        <v>204</v>
      </c>
      <c r="H319" s="12" t="s">
        <v>2771</v>
      </c>
      <c r="I319" s="12" t="s">
        <v>2711</v>
      </c>
      <c r="J319" s="12" t="s">
        <v>2783</v>
      </c>
      <c r="K319" s="12" t="s">
        <v>2713</v>
      </c>
      <c r="L319" s="12" t="s">
        <v>2784</v>
      </c>
      <c r="M319" s="12" t="s">
        <v>2785</v>
      </c>
      <c r="N319" s="12" t="s">
        <v>2786</v>
      </c>
      <c r="O319" s="12" t="s">
        <v>2787</v>
      </c>
      <c r="P319" s="12" t="s">
        <v>2774</v>
      </c>
      <c r="Y319" s="12" t="s">
        <v>2419</v>
      </c>
      <c r="Z319" s="12" t="s">
        <v>2015</v>
      </c>
      <c r="AA319" s="12" t="s">
        <v>2376</v>
      </c>
      <c r="AB319" s="12" t="s">
        <v>2609</v>
      </c>
      <c r="AC319" s="12" t="s">
        <v>2718</v>
      </c>
      <c r="AD319" s="12" t="s">
        <v>2788</v>
      </c>
      <c r="AE319" s="12" t="s">
        <v>2326</v>
      </c>
      <c r="AF319" s="12" t="s">
        <v>2719</v>
      </c>
      <c r="AG319" s="12" t="s">
        <v>2720</v>
      </c>
      <c r="AH319" s="12" t="s">
        <v>2739</v>
      </c>
      <c r="AI319" s="12" t="s">
        <v>2180</v>
      </c>
      <c r="AJ319" s="12" t="s">
        <v>4319</v>
      </c>
      <c r="AK319" s="12" t="s">
        <v>2764</v>
      </c>
      <c r="AL319" s="12" t="s">
        <v>2789</v>
      </c>
      <c r="AM319" s="12" t="s">
        <v>2741</v>
      </c>
      <c r="AN319" s="12" t="s">
        <v>2260</v>
      </c>
      <c r="AO319" s="12" t="s">
        <v>2790</v>
      </c>
      <c r="AU319" s="12" t="s">
        <v>2791</v>
      </c>
      <c r="AV319" s="12" t="s">
        <v>1671</v>
      </c>
      <c r="AW319" s="12" t="s">
        <v>246</v>
      </c>
    </row>
    <row r="320" spans="1:49" ht="13.35" customHeight="1" x14ac:dyDescent="0.2">
      <c r="A320" s="41">
        <v>0.86680000000000035</v>
      </c>
      <c r="B320" s="12">
        <v>-30</v>
      </c>
      <c r="E320" s="59" t="s">
        <v>2792</v>
      </c>
      <c r="F320" s="12">
        <v>149</v>
      </c>
      <c r="G320" s="12" t="s">
        <v>204</v>
      </c>
      <c r="H320" s="12" t="s">
        <v>2771</v>
      </c>
      <c r="I320" s="12" t="s">
        <v>2793</v>
      </c>
      <c r="J320" s="12" t="s">
        <v>2631</v>
      </c>
      <c r="K320" s="12" t="s">
        <v>2794</v>
      </c>
      <c r="L320" s="12" t="s">
        <v>2713</v>
      </c>
      <c r="M320" s="12" t="s">
        <v>2795</v>
      </c>
      <c r="N320" s="12" t="s">
        <v>2796</v>
      </c>
      <c r="O320" s="12" t="s">
        <v>2454</v>
      </c>
      <c r="P320" s="12" t="s">
        <v>2774</v>
      </c>
      <c r="Y320" s="12" t="s">
        <v>2797</v>
      </c>
      <c r="Z320" s="12" t="s">
        <v>2798</v>
      </c>
      <c r="AA320" s="12" t="s">
        <v>2799</v>
      </c>
      <c r="AB320" s="12" t="s">
        <v>2800</v>
      </c>
      <c r="AC320" s="12" t="s">
        <v>2801</v>
      </c>
      <c r="AD320" s="12" t="s">
        <v>2655</v>
      </c>
      <c r="AE320" s="12" t="s">
        <v>2717</v>
      </c>
      <c r="AF320" s="12" t="s">
        <v>2718</v>
      </c>
      <c r="AG320" s="12" t="s">
        <v>2326</v>
      </c>
      <c r="AH320" s="12" t="s">
        <v>2802</v>
      </c>
      <c r="AI320" s="12" t="s">
        <v>2803</v>
      </c>
      <c r="AJ320" s="12" t="s">
        <v>2739</v>
      </c>
      <c r="AK320" s="12" t="s">
        <v>2035</v>
      </c>
      <c r="AL320" s="12" t="s">
        <v>2804</v>
      </c>
      <c r="AM320" s="12" t="s">
        <v>2805</v>
      </c>
      <c r="AN320" s="12" t="s">
        <v>2107</v>
      </c>
      <c r="AO320" s="12" t="s">
        <v>2180</v>
      </c>
      <c r="AP320" s="12" t="s">
        <v>4319</v>
      </c>
      <c r="AQ320" s="12" t="s">
        <v>2764</v>
      </c>
      <c r="AR320" s="12" t="s">
        <v>2806</v>
      </c>
      <c r="AU320" s="12" t="s">
        <v>246</v>
      </c>
      <c r="AV320" s="12" t="s">
        <v>534</v>
      </c>
      <c r="AW320" s="12" t="s">
        <v>233</v>
      </c>
    </row>
    <row r="321" spans="1:49" ht="13.35" customHeight="1" x14ac:dyDescent="0.2">
      <c r="A321" s="41">
        <v>0.89220000000000055</v>
      </c>
      <c r="B321" s="12">
        <v>-30</v>
      </c>
      <c r="E321" s="59" t="s">
        <v>2807</v>
      </c>
      <c r="F321" s="12">
        <v>121</v>
      </c>
      <c r="G321" s="12" t="s">
        <v>204</v>
      </c>
      <c r="H321" s="12" t="s">
        <v>2808</v>
      </c>
      <c r="I321" s="12" t="s">
        <v>2809</v>
      </c>
      <c r="J321" s="12" t="s">
        <v>2810</v>
      </c>
      <c r="K321" s="12" t="s">
        <v>2811</v>
      </c>
      <c r="L321" s="12" t="s">
        <v>2812</v>
      </c>
      <c r="M321" s="12" t="s">
        <v>2813</v>
      </c>
      <c r="N321" s="12" t="s">
        <v>2454</v>
      </c>
      <c r="P321" s="12" t="s">
        <v>2774</v>
      </c>
      <c r="Y321" s="12" t="s">
        <v>2405</v>
      </c>
      <c r="Z321" s="12" t="s">
        <v>2107</v>
      </c>
      <c r="AA321" s="12" t="s">
        <v>1987</v>
      </c>
      <c r="AB321" s="12" t="s">
        <v>1988</v>
      </c>
      <c r="AC321" s="12" t="s">
        <v>2039</v>
      </c>
      <c r="AD321" s="12" t="s">
        <v>2802</v>
      </c>
      <c r="AE321" s="12" t="s">
        <v>2775</v>
      </c>
      <c r="AF321" s="12" t="s">
        <v>2739</v>
      </c>
      <c r="AG321" s="12" t="s">
        <v>2488</v>
      </c>
      <c r="AH321" s="12" t="s">
        <v>2804</v>
      </c>
      <c r="AI321" s="12" t="s">
        <v>2805</v>
      </c>
      <c r="AJ321" s="12" t="s">
        <v>2107</v>
      </c>
      <c r="AK321" s="12" t="s">
        <v>2180</v>
      </c>
      <c r="AL321" s="12" t="s">
        <v>4319</v>
      </c>
      <c r="AM321" s="12" t="s">
        <v>2764</v>
      </c>
      <c r="AN321" s="12" t="s">
        <v>2725</v>
      </c>
      <c r="AO321" s="12" t="s">
        <v>2204</v>
      </c>
      <c r="AP321" s="12" t="s">
        <v>2107</v>
      </c>
      <c r="AU321" s="12" t="s">
        <v>246</v>
      </c>
      <c r="AV321" s="12" t="s">
        <v>246</v>
      </c>
      <c r="AW321" s="12" t="s">
        <v>246</v>
      </c>
    </row>
    <row r="322" spans="1:49" ht="13.35" customHeight="1" x14ac:dyDescent="0.2">
      <c r="A322" s="41">
        <v>0.91760000000000086</v>
      </c>
      <c r="B322" s="12">
        <v>-30</v>
      </c>
      <c r="E322" s="59" t="s">
        <v>2814</v>
      </c>
      <c r="F322" s="12">
        <v>95</v>
      </c>
      <c r="G322" s="12" t="s">
        <v>204</v>
      </c>
      <c r="H322" s="12" t="s">
        <v>2815</v>
      </c>
      <c r="I322" s="12" t="s">
        <v>2816</v>
      </c>
      <c r="J322" s="12" t="s">
        <v>2817</v>
      </c>
      <c r="K322" s="12" t="s">
        <v>2818</v>
      </c>
      <c r="L322" s="12" t="s">
        <v>2819</v>
      </c>
      <c r="M322" s="12" t="s">
        <v>2820</v>
      </c>
      <c r="N322" s="12" t="s">
        <v>2821</v>
      </c>
      <c r="Y322" s="12" t="s">
        <v>2292</v>
      </c>
      <c r="Z322" s="12" t="s">
        <v>2015</v>
      </c>
      <c r="AA322" s="12" t="s">
        <v>2822</v>
      </c>
      <c r="AB322" s="12" t="s">
        <v>2107</v>
      </c>
      <c r="AC322" s="12" t="s">
        <v>1987</v>
      </c>
      <c r="AD322" s="12" t="s">
        <v>1988</v>
      </c>
      <c r="AE322" s="12" t="s">
        <v>2130</v>
      </c>
      <c r="AF322" s="12" t="s">
        <v>2775</v>
      </c>
      <c r="AG322" s="12" t="s">
        <v>2739</v>
      </c>
      <c r="AH322" s="12" t="s">
        <v>2366</v>
      </c>
      <c r="AI322" s="12" t="s">
        <v>2823</v>
      </c>
      <c r="AJ322" s="12" t="s">
        <v>2764</v>
      </c>
      <c r="AK322" s="12" t="s">
        <v>2824</v>
      </c>
      <c r="AL322" s="12" t="s">
        <v>2825</v>
      </c>
      <c r="AM322" s="12" t="s">
        <v>2015</v>
      </c>
      <c r="AN322" s="12" t="s">
        <v>2826</v>
      </c>
      <c r="AO322" s="12" t="s">
        <v>2107</v>
      </c>
      <c r="AU322" s="12" t="s">
        <v>246</v>
      </c>
      <c r="AV322" s="12" t="s">
        <v>246</v>
      </c>
      <c r="AW322" s="12" t="s">
        <v>2118</v>
      </c>
    </row>
    <row r="323" spans="1:49" ht="13.35" customHeight="1" x14ac:dyDescent="0.2">
      <c r="A323" s="41">
        <v>0.94300000000000084</v>
      </c>
      <c r="B323" s="12">
        <v>-30</v>
      </c>
      <c r="E323" s="59" t="s">
        <v>2827</v>
      </c>
      <c r="F323" s="12">
        <v>94</v>
      </c>
      <c r="G323" s="12" t="s">
        <v>204</v>
      </c>
      <c r="H323" s="12" t="s">
        <v>2815</v>
      </c>
      <c r="I323" s="12" t="s">
        <v>2816</v>
      </c>
      <c r="J323" s="12" t="s">
        <v>2828</v>
      </c>
      <c r="K323" s="12" t="s">
        <v>2810</v>
      </c>
      <c r="L323" s="12" t="s">
        <v>2829</v>
      </c>
      <c r="M323" s="12" t="s">
        <v>2830</v>
      </c>
      <c r="N323" s="12" t="s">
        <v>2831</v>
      </c>
      <c r="O323" s="12" t="s">
        <v>2821</v>
      </c>
      <c r="Y323" s="12" t="s">
        <v>2832</v>
      </c>
      <c r="Z323" s="12" t="s">
        <v>2015</v>
      </c>
      <c r="AA323" s="12" t="s">
        <v>2833</v>
      </c>
      <c r="AB323" s="12" t="s">
        <v>2017</v>
      </c>
      <c r="AC323" s="12" t="s">
        <v>1987</v>
      </c>
      <c r="AD323" s="12" t="s">
        <v>2834</v>
      </c>
      <c r="AE323" s="12" t="s">
        <v>2326</v>
      </c>
      <c r="AF323" s="12" t="s">
        <v>2132</v>
      </c>
      <c r="AG323" s="12" t="s">
        <v>2739</v>
      </c>
      <c r="AH323" s="12" t="s">
        <v>2410</v>
      </c>
      <c r="AI323" s="12" t="s">
        <v>2835</v>
      </c>
      <c r="AJ323" s="12" t="s">
        <v>2836</v>
      </c>
      <c r="AK323" s="12" t="s">
        <v>2837</v>
      </c>
      <c r="AL323" s="12" t="s">
        <v>2825</v>
      </c>
      <c r="AM323" s="12" t="s">
        <v>2015</v>
      </c>
      <c r="AN323" s="12" t="s">
        <v>2826</v>
      </c>
      <c r="AO323" s="12" t="s">
        <v>2107</v>
      </c>
      <c r="AU323" s="12" t="s">
        <v>246</v>
      </c>
      <c r="AV323" s="12" t="s">
        <v>246</v>
      </c>
      <c r="AW323" s="12" t="s">
        <v>2118</v>
      </c>
    </row>
    <row r="324" spans="1:49" ht="13.35" customHeight="1" x14ac:dyDescent="0.2">
      <c r="A324" s="41">
        <v>0.96840000000000082</v>
      </c>
      <c r="B324" s="12">
        <v>-30</v>
      </c>
      <c r="E324" s="59" t="s">
        <v>2838</v>
      </c>
      <c r="F324" s="12">
        <v>116</v>
      </c>
      <c r="G324" s="12" t="s">
        <v>204</v>
      </c>
      <c r="H324" s="12" t="s">
        <v>2771</v>
      </c>
      <c r="I324" s="12" t="s">
        <v>2494</v>
      </c>
      <c r="J324" s="12" t="s">
        <v>2839</v>
      </c>
      <c r="K324" s="12" t="s">
        <v>2840</v>
      </c>
      <c r="L324" s="12" t="s">
        <v>2810</v>
      </c>
      <c r="M324" s="12" t="s">
        <v>2830</v>
      </c>
      <c r="N324" s="12" t="s">
        <v>2831</v>
      </c>
      <c r="O324" s="12" t="s">
        <v>2761</v>
      </c>
      <c r="P324" s="12" t="s">
        <v>2762</v>
      </c>
      <c r="Y324" s="12" t="s">
        <v>2279</v>
      </c>
      <c r="Z324" s="12" t="s">
        <v>2254</v>
      </c>
      <c r="AA324" s="12" t="s">
        <v>2719</v>
      </c>
      <c r="AB324" s="12" t="s">
        <v>2739</v>
      </c>
      <c r="AC324" s="12" t="s">
        <v>2180</v>
      </c>
      <c r="AD324" s="12" t="s">
        <v>4320</v>
      </c>
      <c r="AE324" s="12" t="s">
        <v>2841</v>
      </c>
      <c r="AF324" s="12" t="s">
        <v>2765</v>
      </c>
      <c r="AG324" s="12" t="s">
        <v>2842</v>
      </c>
      <c r="AH324" s="12" t="s">
        <v>2001</v>
      </c>
      <c r="AI324" s="12" t="s">
        <v>2843</v>
      </c>
      <c r="AJ324" s="12" t="s">
        <v>2410</v>
      </c>
      <c r="AK324" s="12" t="s">
        <v>2256</v>
      </c>
      <c r="AL324" s="12" t="s">
        <v>2257</v>
      </c>
      <c r="AU324" s="12" t="s">
        <v>246</v>
      </c>
      <c r="AV324" s="12" t="s">
        <v>662</v>
      </c>
      <c r="AW324" s="12" t="s">
        <v>2844</v>
      </c>
    </row>
    <row r="325" spans="1:49" ht="13.35" customHeight="1" x14ac:dyDescent="0.2">
      <c r="A325" s="41">
        <v>0.99380000000000102</v>
      </c>
      <c r="B325" s="12">
        <v>-30</v>
      </c>
      <c r="E325" s="59" t="s">
        <v>2845</v>
      </c>
      <c r="F325" s="12">
        <v>162</v>
      </c>
      <c r="G325" s="12" t="s">
        <v>204</v>
      </c>
      <c r="H325" s="12" t="s">
        <v>2846</v>
      </c>
      <c r="I325" s="12" t="s">
        <v>2847</v>
      </c>
      <c r="J325" s="12" t="s">
        <v>2848</v>
      </c>
      <c r="K325" s="12" t="s">
        <v>2849</v>
      </c>
      <c r="L325" s="12" t="s">
        <v>2850</v>
      </c>
      <c r="M325" s="12" t="s">
        <v>2851</v>
      </c>
      <c r="N325" s="12" t="s">
        <v>2852</v>
      </c>
      <c r="O325" s="12" t="s">
        <v>2853</v>
      </c>
      <c r="P325" s="12" t="s">
        <v>2854</v>
      </c>
      <c r="Q325" s="12" t="s">
        <v>2855</v>
      </c>
      <c r="Y325" s="12" t="s">
        <v>2279</v>
      </c>
      <c r="Z325" s="12" t="s">
        <v>2738</v>
      </c>
      <c r="AA325" s="12" t="s">
        <v>2739</v>
      </c>
      <c r="AB325" s="12" t="s">
        <v>2856</v>
      </c>
      <c r="AC325" s="12" t="s">
        <v>2857</v>
      </c>
      <c r="AD325" s="12" t="s">
        <v>2107</v>
      </c>
      <c r="AE325" s="12" t="s">
        <v>2280</v>
      </c>
      <c r="AF325" s="12" t="s">
        <v>2858</v>
      </c>
      <c r="AG325" s="12" t="s">
        <v>2859</v>
      </c>
      <c r="AH325" s="12" t="s">
        <v>2860</v>
      </c>
      <c r="AI325" s="12" t="s">
        <v>2861</v>
      </c>
      <c r="AJ325" s="12" t="s">
        <v>2107</v>
      </c>
      <c r="AK325" s="12" t="s">
        <v>2035</v>
      </c>
      <c r="AL325" s="12" t="s">
        <v>2015</v>
      </c>
      <c r="AM325" s="12" t="s">
        <v>1999</v>
      </c>
      <c r="AN325" s="12" t="s">
        <v>2722</v>
      </c>
      <c r="AO325" s="12" t="s">
        <v>2180</v>
      </c>
      <c r="AP325" s="12" t="s">
        <v>2862</v>
      </c>
      <c r="AQ325" s="12" t="s">
        <v>2764</v>
      </c>
      <c r="AR325" s="12" t="s">
        <v>2863</v>
      </c>
      <c r="AS325" s="12" t="s">
        <v>2864</v>
      </c>
      <c r="AU325" s="12" t="s">
        <v>246</v>
      </c>
      <c r="AV325" s="12" t="s">
        <v>246</v>
      </c>
      <c r="AW325" s="12" t="s">
        <v>231</v>
      </c>
    </row>
    <row r="326" spans="1:49" ht="13.35" customHeight="1" x14ac:dyDescent="0.2">
      <c r="A326" s="41">
        <v>1.0192000000000008</v>
      </c>
      <c r="B326" s="12">
        <v>-25</v>
      </c>
      <c r="E326" s="59" t="s">
        <v>2865</v>
      </c>
      <c r="F326" s="12">
        <v>124</v>
      </c>
      <c r="G326" s="12" t="s">
        <v>204</v>
      </c>
      <c r="H326" s="12" t="s">
        <v>2866</v>
      </c>
      <c r="I326" s="12" t="s">
        <v>2867</v>
      </c>
      <c r="J326" s="12" t="s">
        <v>2868</v>
      </c>
      <c r="K326" s="12" t="s">
        <v>2869</v>
      </c>
      <c r="L326" s="12" t="s">
        <v>2870</v>
      </c>
      <c r="M326" s="12" t="s">
        <v>2871</v>
      </c>
      <c r="N326" s="12" t="s">
        <v>2872</v>
      </c>
      <c r="O326" s="12" t="s">
        <v>2873</v>
      </c>
      <c r="P326" s="12" t="s">
        <v>2593</v>
      </c>
      <c r="Y326" s="12" t="s">
        <v>1993</v>
      </c>
      <c r="Z326" s="12" t="s">
        <v>2128</v>
      </c>
      <c r="AA326" s="12" t="s">
        <v>2130</v>
      </c>
      <c r="AB326" s="12" t="s">
        <v>2040</v>
      </c>
      <c r="AC326" s="12" t="s">
        <v>2311</v>
      </c>
      <c r="AD326" s="12" t="s">
        <v>2874</v>
      </c>
      <c r="AE326" s="12" t="s">
        <v>2875</v>
      </c>
      <c r="AF326" s="12" t="s">
        <v>2876</v>
      </c>
      <c r="AG326" s="12" t="s">
        <v>2877</v>
      </c>
      <c r="AH326" s="12" t="s">
        <v>2015</v>
      </c>
      <c r="AI326" s="12" t="s">
        <v>2035</v>
      </c>
      <c r="AJ326" s="12" t="s">
        <v>2878</v>
      </c>
      <c r="AK326" s="12" t="s">
        <v>2879</v>
      </c>
      <c r="AL326" s="12" t="s">
        <v>2880</v>
      </c>
      <c r="AM326" s="12" t="s">
        <v>2047</v>
      </c>
      <c r="AN326" s="12" t="s">
        <v>2046</v>
      </c>
      <c r="AU326" s="12" t="s">
        <v>246</v>
      </c>
      <c r="AV326" s="12" t="s">
        <v>246</v>
      </c>
      <c r="AW326" s="12" t="s">
        <v>231</v>
      </c>
    </row>
    <row r="327" spans="1:49" ht="13.35" customHeight="1" x14ac:dyDescent="0.2">
      <c r="A327" s="41">
        <v>1.0446000000000009</v>
      </c>
      <c r="B327" s="12">
        <v>-25</v>
      </c>
      <c r="E327" s="59" t="s">
        <v>2881</v>
      </c>
      <c r="F327" s="12">
        <v>102</v>
      </c>
      <c r="G327" s="12" t="s">
        <v>2229</v>
      </c>
      <c r="H327" s="12" t="s">
        <v>2882</v>
      </c>
      <c r="I327" s="12" t="s">
        <v>2883</v>
      </c>
      <c r="J327" s="12" t="s">
        <v>2884</v>
      </c>
      <c r="K327" s="12" t="s">
        <v>2885</v>
      </c>
      <c r="L327" s="12" t="s">
        <v>2886</v>
      </c>
      <c r="M327" s="12" t="s">
        <v>2887</v>
      </c>
      <c r="N327" s="12" t="s">
        <v>2888</v>
      </c>
      <c r="Y327" s="12" t="s">
        <v>2889</v>
      </c>
      <c r="Z327" s="12" t="s">
        <v>2380</v>
      </c>
      <c r="AA327" s="12" t="s">
        <v>2146</v>
      </c>
      <c r="AB327" s="12" t="s">
        <v>2166</v>
      </c>
      <c r="AC327" s="12" t="s">
        <v>2085</v>
      </c>
      <c r="AD327" s="12" t="s">
        <v>2107</v>
      </c>
      <c r="AE327" s="12" t="s">
        <v>2878</v>
      </c>
      <c r="AF327" s="12" t="s">
        <v>2890</v>
      </c>
      <c r="AG327" s="12" t="s">
        <v>2103</v>
      </c>
      <c r="AH327" s="12" t="s">
        <v>2891</v>
      </c>
      <c r="AI327" s="12" t="s">
        <v>2045</v>
      </c>
      <c r="AJ327" s="12" t="s">
        <v>2892</v>
      </c>
      <c r="AU327" s="12" t="s">
        <v>246</v>
      </c>
      <c r="AV327" s="12" t="s">
        <v>246</v>
      </c>
      <c r="AW327" s="12" t="s">
        <v>246</v>
      </c>
    </row>
    <row r="328" spans="1:49" ht="13.35" customHeight="1" x14ac:dyDescent="0.2">
      <c r="A328" s="41">
        <v>1.070000000000001</v>
      </c>
      <c r="B328" s="12">
        <v>-25</v>
      </c>
      <c r="E328" s="59" t="s">
        <v>2893</v>
      </c>
      <c r="F328" s="12">
        <v>122</v>
      </c>
      <c r="G328" s="12" t="s">
        <v>204</v>
      </c>
      <c r="H328" s="12" t="s">
        <v>2894</v>
      </c>
      <c r="I328" s="12" t="s">
        <v>2895</v>
      </c>
      <c r="J328" s="12" t="s">
        <v>2896</v>
      </c>
      <c r="K328" s="12" t="s">
        <v>2897</v>
      </c>
      <c r="L328" s="12" t="s">
        <v>2898</v>
      </c>
      <c r="M328" s="12" t="s">
        <v>2899</v>
      </c>
      <c r="N328" s="12" t="s">
        <v>2900</v>
      </c>
      <c r="Y328" s="12" t="s">
        <v>2081</v>
      </c>
      <c r="Z328" s="12" t="s">
        <v>1996</v>
      </c>
      <c r="AA328" s="12" t="s">
        <v>2901</v>
      </c>
      <c r="AB328" s="12" t="s">
        <v>2902</v>
      </c>
      <c r="AC328" s="12" t="s">
        <v>2737</v>
      </c>
      <c r="AD328" s="12" t="s">
        <v>2280</v>
      </c>
      <c r="AE328" s="12" t="s">
        <v>2903</v>
      </c>
      <c r="AF328" s="12" t="s">
        <v>2904</v>
      </c>
      <c r="AG328" s="12" t="s">
        <v>2905</v>
      </c>
      <c r="AH328" s="12" t="s">
        <v>2778</v>
      </c>
      <c r="AI328" s="12" t="s">
        <v>2779</v>
      </c>
      <c r="AJ328" s="12" t="s">
        <v>2906</v>
      </c>
      <c r="AK328" s="12" t="s">
        <v>2878</v>
      </c>
      <c r="AL328" s="12" t="s">
        <v>2907</v>
      </c>
      <c r="AU328" s="12" t="s">
        <v>246</v>
      </c>
      <c r="AV328" s="12" t="s">
        <v>246</v>
      </c>
      <c r="AW328" s="12" t="s">
        <v>246</v>
      </c>
    </row>
    <row r="329" spans="1:49" ht="13.35" customHeight="1" x14ac:dyDescent="0.2">
      <c r="A329" s="41">
        <v>1.095400000000001</v>
      </c>
      <c r="B329" s="12">
        <v>-25</v>
      </c>
      <c r="E329" s="59" t="s">
        <v>2908</v>
      </c>
      <c r="F329" s="12">
        <v>124</v>
      </c>
      <c r="G329" s="12" t="s">
        <v>204</v>
      </c>
      <c r="H329" s="12" t="s">
        <v>2909</v>
      </c>
      <c r="I329" s="12" t="s">
        <v>2910</v>
      </c>
      <c r="J329" s="12" t="s">
        <v>2911</v>
      </c>
      <c r="K329" s="12" t="s">
        <v>2912</v>
      </c>
      <c r="L329" s="12" t="s">
        <v>2913</v>
      </c>
      <c r="Y329" s="12" t="s">
        <v>2379</v>
      </c>
      <c r="Z329" s="12" t="s">
        <v>2395</v>
      </c>
      <c r="AA329" s="12" t="s">
        <v>2081</v>
      </c>
      <c r="AB329" s="12" t="s">
        <v>2323</v>
      </c>
      <c r="AC329" s="12" t="s">
        <v>2226</v>
      </c>
      <c r="AD329" s="12" t="s">
        <v>2902</v>
      </c>
      <c r="AE329" s="12" t="s">
        <v>2914</v>
      </c>
      <c r="AF329" s="12" t="s">
        <v>2915</v>
      </c>
      <c r="AG329" s="12" t="s">
        <v>2916</v>
      </c>
      <c r="AH329" s="12" t="s">
        <v>2917</v>
      </c>
      <c r="AI329" s="12" t="s">
        <v>2878</v>
      </c>
      <c r="AJ329" s="12" t="s">
        <v>2918</v>
      </c>
      <c r="AK329" s="12" t="s">
        <v>2903</v>
      </c>
      <c r="AU329" s="12" t="s">
        <v>246</v>
      </c>
      <c r="AV329" s="12" t="s">
        <v>246</v>
      </c>
      <c r="AW329" s="12" t="s">
        <v>246</v>
      </c>
    </row>
    <row r="330" spans="1:49" ht="13.35" customHeight="1" x14ac:dyDescent="0.2">
      <c r="A330" s="41">
        <v>1.1208000000000011</v>
      </c>
      <c r="B330" s="12">
        <v>-25</v>
      </c>
      <c r="E330" s="59" t="s">
        <v>2919</v>
      </c>
      <c r="F330" s="12">
        <v>130</v>
      </c>
      <c r="G330" s="12" t="s">
        <v>246</v>
      </c>
      <c r="H330" s="12" t="s">
        <v>2920</v>
      </c>
      <c r="I330" s="12" t="s">
        <v>2921</v>
      </c>
      <c r="J330" s="12" t="s">
        <v>2922</v>
      </c>
      <c r="K330" s="12" t="s">
        <v>2923</v>
      </c>
      <c r="L330" s="12" t="s">
        <v>2924</v>
      </c>
      <c r="M330" s="12" t="s">
        <v>2925</v>
      </c>
      <c r="N330" s="12" t="s">
        <v>2926</v>
      </c>
      <c r="O330" s="12" t="s">
        <v>2927</v>
      </c>
      <c r="Y330" s="12" t="s">
        <v>2081</v>
      </c>
      <c r="Z330" s="12" t="s">
        <v>2323</v>
      </c>
      <c r="AA330" s="12" t="s">
        <v>2226</v>
      </c>
      <c r="AB330" s="12" t="s">
        <v>2691</v>
      </c>
      <c r="AC330" s="12" t="s">
        <v>2324</v>
      </c>
      <c r="AD330" s="12" t="s">
        <v>2325</v>
      </c>
      <c r="AE330" s="12" t="s">
        <v>2130</v>
      </c>
      <c r="AF330" s="12" t="s">
        <v>2327</v>
      </c>
      <c r="AG330" s="12" t="s">
        <v>2928</v>
      </c>
      <c r="AH330" s="12" t="s">
        <v>2128</v>
      </c>
      <c r="AI330" s="12" t="s">
        <v>2313</v>
      </c>
      <c r="AJ330" s="12" t="s">
        <v>2929</v>
      </c>
      <c r="AK330" s="12" t="s">
        <v>2930</v>
      </c>
      <c r="AL330" s="12" t="s">
        <v>2931</v>
      </c>
      <c r="AM330" s="12" t="s">
        <v>2905</v>
      </c>
      <c r="AN330" s="12" t="s">
        <v>2641</v>
      </c>
      <c r="AU330" s="12" t="s">
        <v>246</v>
      </c>
      <c r="AV330" s="12" t="s">
        <v>246</v>
      </c>
      <c r="AW330" s="12" t="s">
        <v>2932</v>
      </c>
    </row>
    <row r="331" spans="1:49" ht="13.35" customHeight="1" x14ac:dyDescent="0.2">
      <c r="A331" s="41">
        <v>1.1462000000000012</v>
      </c>
      <c r="B331" s="12">
        <v>-25</v>
      </c>
      <c r="E331" s="59" t="s">
        <v>2933</v>
      </c>
      <c r="F331" s="12">
        <v>108</v>
      </c>
      <c r="G331" s="12" t="s">
        <v>204</v>
      </c>
      <c r="H331" s="12" t="s">
        <v>2934</v>
      </c>
      <c r="I331" s="12" t="s">
        <v>2935</v>
      </c>
      <c r="J331" s="12" t="s">
        <v>2936</v>
      </c>
      <c r="K331" s="12" t="s">
        <v>2937</v>
      </c>
      <c r="L331" s="12" t="s">
        <v>2938</v>
      </c>
      <c r="M331" s="12" t="s">
        <v>2939</v>
      </c>
      <c r="N331" s="12" t="s">
        <v>2940</v>
      </c>
      <c r="O331" s="12" t="s">
        <v>2941</v>
      </c>
      <c r="Y331" s="12" t="s">
        <v>2379</v>
      </c>
      <c r="Z331" s="12" t="s">
        <v>2942</v>
      </c>
      <c r="AA331" s="12" t="s">
        <v>2146</v>
      </c>
      <c r="AB331" s="12" t="s">
        <v>2166</v>
      </c>
      <c r="AC331" s="12" t="s">
        <v>2167</v>
      </c>
      <c r="AD331" s="12" t="s">
        <v>2943</v>
      </c>
      <c r="AE331" s="12" t="s">
        <v>2944</v>
      </c>
      <c r="AF331" s="12" t="s">
        <v>2181</v>
      </c>
      <c r="AG331" s="12" t="s">
        <v>2878</v>
      </c>
      <c r="AH331" s="12" t="s">
        <v>2945</v>
      </c>
      <c r="AI331" s="12" t="s">
        <v>2946</v>
      </c>
      <c r="AJ331" s="12" t="s">
        <v>2103</v>
      </c>
      <c r="AK331" s="12" t="s">
        <v>2891</v>
      </c>
      <c r="AL331" s="12" t="s">
        <v>2170</v>
      </c>
      <c r="AM331" s="12" t="s">
        <v>2753</v>
      </c>
      <c r="AU331" s="12" t="s">
        <v>246</v>
      </c>
      <c r="AV331" s="12" t="s">
        <v>246</v>
      </c>
      <c r="AW331" s="12" t="s">
        <v>229</v>
      </c>
    </row>
    <row r="332" spans="1:49" ht="13.35" customHeight="1" x14ac:dyDescent="0.2">
      <c r="A332" s="41">
        <v>1.1716000000000013</v>
      </c>
      <c r="B332" s="12">
        <v>-20</v>
      </c>
      <c r="E332" s="59" t="s">
        <v>2947</v>
      </c>
      <c r="F332" s="12">
        <v>144</v>
      </c>
      <c r="G332" s="12" t="s">
        <v>204</v>
      </c>
      <c r="H332" s="12" t="s">
        <v>2948</v>
      </c>
      <c r="I332" s="12" t="s">
        <v>2949</v>
      </c>
      <c r="J332" s="12" t="s">
        <v>2950</v>
      </c>
      <c r="K332" s="12" t="s">
        <v>2951</v>
      </c>
      <c r="L332" s="12" t="s">
        <v>2952</v>
      </c>
      <c r="M332" s="12" t="s">
        <v>2953</v>
      </c>
      <c r="N332" s="12" t="s">
        <v>2954</v>
      </c>
      <c r="O332" s="12" t="s">
        <v>2955</v>
      </c>
      <c r="P332" s="12" t="s">
        <v>2956</v>
      </c>
      <c r="Q332" s="12" t="s">
        <v>2957</v>
      </c>
      <c r="Y332" s="12" t="s">
        <v>1993</v>
      </c>
      <c r="Z332" s="12" t="s">
        <v>2958</v>
      </c>
      <c r="AA332" s="12" t="s">
        <v>2216</v>
      </c>
      <c r="AB332" s="12" t="s">
        <v>1992</v>
      </c>
      <c r="AC332" s="12" t="s">
        <v>2194</v>
      </c>
      <c r="AD332" s="12" t="s">
        <v>2480</v>
      </c>
      <c r="AE332" s="12" t="s">
        <v>2959</v>
      </c>
      <c r="AF332" s="12" t="s">
        <v>2227</v>
      </c>
      <c r="AG332" s="12" t="s">
        <v>2960</v>
      </c>
      <c r="AH332" s="12" t="s">
        <v>2130</v>
      </c>
      <c r="AI332" s="12" t="s">
        <v>2128</v>
      </c>
      <c r="AJ332" s="12" t="s">
        <v>2035</v>
      </c>
      <c r="AK332" s="12" t="s">
        <v>2961</v>
      </c>
      <c r="AL332" s="12" t="s">
        <v>2878</v>
      </c>
      <c r="AM332" s="12" t="s">
        <v>2962</v>
      </c>
      <c r="AN332" s="12" t="s">
        <v>2963</v>
      </c>
      <c r="AO332" s="12" t="s">
        <v>2964</v>
      </c>
      <c r="AP332" s="12" t="s">
        <v>2965</v>
      </c>
      <c r="AQ332" s="12" t="s">
        <v>2412</v>
      </c>
      <c r="AR332" s="12" t="s">
        <v>2966</v>
      </c>
      <c r="AS332" s="12" t="s">
        <v>2967</v>
      </c>
      <c r="AT332" s="12" t="s">
        <v>2968</v>
      </c>
      <c r="AU332" s="12" t="s">
        <v>246</v>
      </c>
      <c r="AV332" s="12" t="s">
        <v>246</v>
      </c>
      <c r="AW332" s="12" t="s">
        <v>246</v>
      </c>
    </row>
    <row r="333" spans="1:49" ht="13.35" customHeight="1" x14ac:dyDescent="0.2">
      <c r="A333" s="41">
        <v>1.1970000000000014</v>
      </c>
      <c r="B333" s="12">
        <v>-20</v>
      </c>
      <c r="E333" s="59" t="s">
        <v>2969</v>
      </c>
      <c r="F333" s="12">
        <v>83</v>
      </c>
      <c r="G333" s="12" t="s">
        <v>204</v>
      </c>
      <c r="H333" s="12" t="s">
        <v>2970</v>
      </c>
      <c r="I333" s="12" t="s">
        <v>2971</v>
      </c>
      <c r="J333" s="12" t="s">
        <v>2972</v>
      </c>
      <c r="K333" s="12" t="s">
        <v>2973</v>
      </c>
      <c r="L333" s="12" t="s">
        <v>2974</v>
      </c>
      <c r="M333" s="12" t="s">
        <v>2975</v>
      </c>
      <c r="N333" s="12" t="s">
        <v>2976</v>
      </c>
      <c r="O333" s="12" t="s">
        <v>2977</v>
      </c>
      <c r="P333" s="12" t="s">
        <v>2978</v>
      </c>
      <c r="Y333" s="12" t="s">
        <v>2379</v>
      </c>
      <c r="Z333" s="12" t="s">
        <v>2979</v>
      </c>
      <c r="AA333" s="12" t="s">
        <v>2326</v>
      </c>
      <c r="AB333" s="12" t="s">
        <v>2980</v>
      </c>
      <c r="AC333" s="12" t="s">
        <v>2436</v>
      </c>
      <c r="AD333" s="12" t="s">
        <v>2981</v>
      </c>
      <c r="AE333" s="12" t="s">
        <v>2466</v>
      </c>
      <c r="AF333" s="12" t="s">
        <v>2982</v>
      </c>
      <c r="AG333" s="12" t="s">
        <v>2983</v>
      </c>
      <c r="AH333" s="12" t="s">
        <v>2984</v>
      </c>
      <c r="AU333" s="12" t="s">
        <v>246</v>
      </c>
      <c r="AV333" s="12" t="s">
        <v>246</v>
      </c>
      <c r="AW333" s="12" t="s">
        <v>229</v>
      </c>
    </row>
    <row r="334" spans="1:49" ht="13.35" customHeight="1" x14ac:dyDescent="0.2">
      <c r="A334" s="41">
        <v>1.2224000000000013</v>
      </c>
      <c r="B334" s="12">
        <v>-20</v>
      </c>
      <c r="E334" s="59" t="s">
        <v>2985</v>
      </c>
      <c r="F334" s="12">
        <v>147</v>
      </c>
      <c r="G334" s="12" t="s">
        <v>2229</v>
      </c>
      <c r="H334" s="12" t="s">
        <v>2986</v>
      </c>
      <c r="I334" s="12" t="s">
        <v>2987</v>
      </c>
      <c r="J334" s="12" t="s">
        <v>2988</v>
      </c>
      <c r="K334" s="12" t="s">
        <v>2989</v>
      </c>
      <c r="L334" s="12" t="s">
        <v>2990</v>
      </c>
      <c r="M334" s="12" t="s">
        <v>2991</v>
      </c>
      <c r="N334" s="12" t="s">
        <v>2992</v>
      </c>
      <c r="O334" s="12" t="s">
        <v>2993</v>
      </c>
      <c r="Y334" s="12" t="s">
        <v>2016</v>
      </c>
      <c r="Z334" s="12" t="s">
        <v>2312</v>
      </c>
      <c r="AA334" s="12" t="s">
        <v>2994</v>
      </c>
      <c r="AB334" s="12" t="s">
        <v>2434</v>
      </c>
      <c r="AC334" s="12" t="s">
        <v>2679</v>
      </c>
      <c r="AD334" s="12" t="s">
        <v>2995</v>
      </c>
      <c r="AE334" s="12" t="s">
        <v>2878</v>
      </c>
      <c r="AF334" s="12" t="s">
        <v>2996</v>
      </c>
      <c r="AG334" s="12" t="s">
        <v>2997</v>
      </c>
      <c r="AH334" s="12" t="s">
        <v>2998</v>
      </c>
      <c r="AI334" s="12" t="s">
        <v>2843</v>
      </c>
      <c r="AJ334" s="12" t="s">
        <v>2767</v>
      </c>
      <c r="AK334" s="12" t="s">
        <v>2999</v>
      </c>
      <c r="AL334" s="12" t="s">
        <v>3000</v>
      </c>
      <c r="AM334" s="12" t="s">
        <v>3001</v>
      </c>
      <c r="AN334" s="12" t="s">
        <v>3002</v>
      </c>
      <c r="AO334" s="12" t="s">
        <v>2412</v>
      </c>
      <c r="AP334" s="12" t="s">
        <v>3003</v>
      </c>
      <c r="AQ334" s="12" t="s">
        <v>2261</v>
      </c>
      <c r="AU334" s="12" t="s">
        <v>246</v>
      </c>
      <c r="AV334" s="12" t="s">
        <v>246</v>
      </c>
      <c r="AW334" s="12" t="s">
        <v>246</v>
      </c>
    </row>
    <row r="335" spans="1:49" ht="13.35" customHeight="1" x14ac:dyDescent="0.2">
      <c r="A335" s="41">
        <v>1.2478000000000014</v>
      </c>
      <c r="B335" s="12">
        <v>-20</v>
      </c>
      <c r="E335" s="59" t="s">
        <v>3004</v>
      </c>
      <c r="F335" s="12">
        <v>105</v>
      </c>
      <c r="G335" s="12" t="s">
        <v>204</v>
      </c>
      <c r="H335" s="12" t="s">
        <v>3005</v>
      </c>
      <c r="I335" s="12" t="s">
        <v>3006</v>
      </c>
      <c r="J335" s="12" t="s">
        <v>3007</v>
      </c>
      <c r="K335" s="12" t="s">
        <v>3008</v>
      </c>
      <c r="L335" s="12" t="s">
        <v>3009</v>
      </c>
      <c r="M335" s="12" t="s">
        <v>3010</v>
      </c>
      <c r="N335" s="12" t="s">
        <v>2636</v>
      </c>
      <c r="O335" s="12" t="s">
        <v>2784</v>
      </c>
      <c r="P335" s="12" t="s">
        <v>3011</v>
      </c>
      <c r="Y335" s="12" t="s">
        <v>2279</v>
      </c>
      <c r="Z335" s="12" t="s">
        <v>2942</v>
      </c>
      <c r="AA335" s="12" t="s">
        <v>2367</v>
      </c>
      <c r="AB335" s="12" t="s">
        <v>2215</v>
      </c>
      <c r="AC335" s="12" t="s">
        <v>2018</v>
      </c>
      <c r="AD335" s="12" t="s">
        <v>2942</v>
      </c>
      <c r="AE335" s="12" t="s">
        <v>2180</v>
      </c>
      <c r="AF335" s="12" t="s">
        <v>3012</v>
      </c>
      <c r="AG335" s="12" t="s">
        <v>3013</v>
      </c>
      <c r="AH335" s="12" t="s">
        <v>2878</v>
      </c>
      <c r="AI335" s="12" t="s">
        <v>3014</v>
      </c>
      <c r="AU335" s="12" t="s">
        <v>246</v>
      </c>
      <c r="AV335" s="12" t="s">
        <v>246</v>
      </c>
      <c r="AW335" s="12" t="s">
        <v>3015</v>
      </c>
    </row>
    <row r="336" spans="1:49" ht="13.35" customHeight="1" x14ac:dyDescent="0.2">
      <c r="A336" s="41">
        <v>1.2732000000000014</v>
      </c>
      <c r="B336" s="12">
        <v>-20</v>
      </c>
      <c r="E336" s="59" t="s">
        <v>3016</v>
      </c>
      <c r="F336" s="12">
        <v>171</v>
      </c>
      <c r="G336" s="12" t="s">
        <v>204</v>
      </c>
      <c r="H336" s="12" t="s">
        <v>3017</v>
      </c>
      <c r="I336" s="12" t="s">
        <v>3018</v>
      </c>
      <c r="J336" s="12" t="s">
        <v>3018</v>
      </c>
      <c r="K336" s="12" t="s">
        <v>3019</v>
      </c>
      <c r="L336" s="12" t="s">
        <v>3020</v>
      </c>
      <c r="M336" s="12" t="s">
        <v>3021</v>
      </c>
      <c r="N336" s="12" t="s">
        <v>3022</v>
      </c>
      <c r="O336" s="12" t="s">
        <v>3023</v>
      </c>
      <c r="P336" s="12" t="s">
        <v>3024</v>
      </c>
      <c r="Y336" s="12" t="s">
        <v>2194</v>
      </c>
      <c r="Z336" s="12" t="s">
        <v>3025</v>
      </c>
      <c r="AA336" s="12" t="s">
        <v>2039</v>
      </c>
      <c r="AB336" s="12" t="s">
        <v>2706</v>
      </c>
      <c r="AC336" s="12" t="s">
        <v>2367</v>
      </c>
      <c r="AD336" s="12" t="s">
        <v>2215</v>
      </c>
      <c r="AE336" s="12" t="s">
        <v>3026</v>
      </c>
      <c r="AF336" s="12" t="s">
        <v>2015</v>
      </c>
      <c r="AG336" s="12" t="s">
        <v>2133</v>
      </c>
      <c r="AH336" s="12" t="s">
        <v>2128</v>
      </c>
      <c r="AI336" s="12" t="s">
        <v>2458</v>
      </c>
      <c r="AJ336" s="12" t="s">
        <v>2015</v>
      </c>
      <c r="AK336" s="12" t="s">
        <v>2666</v>
      </c>
      <c r="AL336" s="12" t="s">
        <v>2015</v>
      </c>
      <c r="AM336" s="12" t="s">
        <v>2878</v>
      </c>
      <c r="AN336" s="12" t="s">
        <v>3027</v>
      </c>
      <c r="AO336" s="12" t="s">
        <v>3028</v>
      </c>
      <c r="AU336" s="12" t="s">
        <v>246</v>
      </c>
      <c r="AV336" s="12" t="s">
        <v>246</v>
      </c>
      <c r="AW336" s="12" t="s">
        <v>221</v>
      </c>
    </row>
    <row r="337" spans="1:49" ht="13.35" customHeight="1" x14ac:dyDescent="0.2">
      <c r="A337" s="41">
        <v>1.2986000000000015</v>
      </c>
      <c r="B337" s="12">
        <v>-20</v>
      </c>
      <c r="E337" s="59" t="s">
        <v>3029</v>
      </c>
      <c r="F337" s="12">
        <v>97</v>
      </c>
      <c r="G337" s="12" t="s">
        <v>2229</v>
      </c>
      <c r="H337" s="12" t="s">
        <v>3030</v>
      </c>
      <c r="I337" s="12" t="s">
        <v>3031</v>
      </c>
      <c r="J337" s="12" t="s">
        <v>3032</v>
      </c>
      <c r="K337" s="12" t="s">
        <v>3033</v>
      </c>
      <c r="L337" s="12" t="s">
        <v>3034</v>
      </c>
      <c r="M337" s="12" t="s">
        <v>3035</v>
      </c>
      <c r="N337" s="12" t="s">
        <v>3035</v>
      </c>
      <c r="O337" s="12" t="s">
        <v>3036</v>
      </c>
      <c r="P337" s="12" t="s">
        <v>3037</v>
      </c>
      <c r="Y337" s="12" t="s">
        <v>1997</v>
      </c>
      <c r="Z337" s="12" t="s">
        <v>2750</v>
      </c>
      <c r="AA337" s="12" t="s">
        <v>2497</v>
      </c>
      <c r="AB337" s="12" t="s">
        <v>3038</v>
      </c>
      <c r="AC337" s="12" t="s">
        <v>3039</v>
      </c>
      <c r="AD337" s="12" t="s">
        <v>2199</v>
      </c>
      <c r="AE337" s="12" t="s">
        <v>2655</v>
      </c>
      <c r="AF337" s="12" t="s">
        <v>2200</v>
      </c>
      <c r="AG337" s="12" t="s">
        <v>2039</v>
      </c>
      <c r="AH337" s="12" t="s">
        <v>3040</v>
      </c>
      <c r="AI337" s="12" t="s">
        <v>2132</v>
      </c>
      <c r="AJ337" s="12" t="s">
        <v>2665</v>
      </c>
      <c r="AK337" s="12" t="s">
        <v>2042</v>
      </c>
      <c r="AL337" s="12" t="s">
        <v>2836</v>
      </c>
      <c r="AM337" s="12" t="s">
        <v>3041</v>
      </c>
      <c r="AU337" s="12" t="s">
        <v>246</v>
      </c>
      <c r="AV337" s="12" t="s">
        <v>246</v>
      </c>
      <c r="AW337" s="12" t="s">
        <v>233</v>
      </c>
    </row>
    <row r="338" spans="1:49" ht="13.35" customHeight="1" x14ac:dyDescent="0.2">
      <c r="A338" s="41">
        <v>1.3240000000000014</v>
      </c>
      <c r="B338" s="12">
        <v>-15</v>
      </c>
      <c r="E338" s="59" t="s">
        <v>3042</v>
      </c>
      <c r="F338" s="12">
        <v>75</v>
      </c>
      <c r="G338" s="12" t="s">
        <v>204</v>
      </c>
      <c r="H338" s="12" t="s">
        <v>3043</v>
      </c>
      <c r="I338" s="12" t="s">
        <v>3044</v>
      </c>
      <c r="J338" s="12" t="s">
        <v>3045</v>
      </c>
      <c r="K338" s="12" t="s">
        <v>3046</v>
      </c>
      <c r="L338" s="12" t="s">
        <v>3047</v>
      </c>
      <c r="M338" s="12" t="s">
        <v>3048</v>
      </c>
      <c r="N338" s="12" t="s">
        <v>3049</v>
      </c>
      <c r="Y338" s="12" t="s">
        <v>2379</v>
      </c>
      <c r="Z338" s="12" t="s">
        <v>2380</v>
      </c>
      <c r="AA338" s="12" t="s">
        <v>3050</v>
      </c>
      <c r="AB338" s="12" t="s">
        <v>2798</v>
      </c>
      <c r="AC338" s="12" t="s">
        <v>2199</v>
      </c>
      <c r="AD338" s="12" t="s">
        <v>2168</v>
      </c>
      <c r="AE338" s="12" t="s">
        <v>2717</v>
      </c>
      <c r="AF338" s="12" t="s">
        <v>2378</v>
      </c>
      <c r="AG338" s="12" t="s">
        <v>2045</v>
      </c>
      <c r="AH338" s="12" t="s">
        <v>2047</v>
      </c>
      <c r="AI338" s="12" t="s">
        <v>2046</v>
      </c>
      <c r="AJ338" s="12" t="s">
        <v>2001</v>
      </c>
      <c r="AK338" s="12" t="s">
        <v>3051</v>
      </c>
      <c r="AL338" s="12" t="s">
        <v>2708</v>
      </c>
      <c r="AU338" s="12" t="s">
        <v>246</v>
      </c>
      <c r="AV338" s="12" t="s">
        <v>246</v>
      </c>
      <c r="AW338" s="12" t="s">
        <v>246</v>
      </c>
    </row>
    <row r="339" spans="1:49" ht="13.35" customHeight="1" x14ac:dyDescent="0.2">
      <c r="A339" s="41">
        <v>1.3494000000000015</v>
      </c>
      <c r="B339" s="12">
        <v>-15</v>
      </c>
      <c r="E339" s="59" t="s">
        <v>3052</v>
      </c>
      <c r="F339" s="12">
        <v>27</v>
      </c>
      <c r="G339" s="12" t="s">
        <v>204</v>
      </c>
      <c r="H339" s="12" t="s">
        <v>3053</v>
      </c>
      <c r="I339" s="12" t="s">
        <v>3054</v>
      </c>
      <c r="J339" s="12" t="s">
        <v>3055</v>
      </c>
      <c r="K339" s="12" t="s">
        <v>3056</v>
      </c>
      <c r="L339" s="12" t="s">
        <v>3057</v>
      </c>
      <c r="M339" s="12" t="s">
        <v>3058</v>
      </c>
      <c r="N339" s="12" t="s">
        <v>3059</v>
      </c>
      <c r="Y339" s="12" t="s">
        <v>2133</v>
      </c>
      <c r="Z339" s="12" t="s">
        <v>3060</v>
      </c>
      <c r="AA339" s="12" t="s">
        <v>3061</v>
      </c>
      <c r="AB339" s="12" t="s">
        <v>2147</v>
      </c>
      <c r="AC339" s="12" t="s">
        <v>3062</v>
      </c>
      <c r="AD339" s="12" t="s">
        <v>2666</v>
      </c>
      <c r="AE339" s="12" t="s">
        <v>3063</v>
      </c>
      <c r="AF339" s="12" t="s">
        <v>2103</v>
      </c>
      <c r="AG339" s="12" t="s">
        <v>3064</v>
      </c>
      <c r="AU339" s="12" t="s">
        <v>246</v>
      </c>
      <c r="AV339" s="12" t="s">
        <v>246</v>
      </c>
      <c r="AW339" s="12" t="s">
        <v>246</v>
      </c>
    </row>
    <row r="340" spans="1:49" ht="13.35" customHeight="1" x14ac:dyDescent="0.2">
      <c r="A340" s="41">
        <v>1.3748000000000014</v>
      </c>
      <c r="B340" s="12">
        <v>-15</v>
      </c>
      <c r="E340" s="59" t="s">
        <v>3065</v>
      </c>
      <c r="F340" s="12">
        <v>19</v>
      </c>
      <c r="G340" s="12" t="s">
        <v>2229</v>
      </c>
      <c r="H340" s="12" t="s">
        <v>3066</v>
      </c>
      <c r="I340" s="12" t="s">
        <v>3067</v>
      </c>
      <c r="J340" s="12" t="s">
        <v>3035</v>
      </c>
      <c r="K340" s="12" t="s">
        <v>3068</v>
      </c>
      <c r="L340" s="12" t="s">
        <v>3068</v>
      </c>
      <c r="M340" s="12" t="s">
        <v>3069</v>
      </c>
      <c r="Y340" s="12" t="s">
        <v>2227</v>
      </c>
      <c r="Z340" s="12" t="s">
        <v>2107</v>
      </c>
      <c r="AA340" s="12" t="s">
        <v>2016</v>
      </c>
      <c r="AB340" s="12" t="s">
        <v>3070</v>
      </c>
      <c r="AC340" s="12" t="s">
        <v>3071</v>
      </c>
      <c r="AD340" s="12" t="s">
        <v>2421</v>
      </c>
      <c r="AE340" s="12" t="s">
        <v>2422</v>
      </c>
      <c r="AF340" s="12" t="s">
        <v>2255</v>
      </c>
      <c r="AG340" s="12" t="s">
        <v>3072</v>
      </c>
      <c r="AH340" s="12" t="s">
        <v>3073</v>
      </c>
      <c r="AU340" s="12" t="s">
        <v>246</v>
      </c>
      <c r="AV340" s="12" t="s">
        <v>246</v>
      </c>
      <c r="AW340" s="12" t="s">
        <v>246</v>
      </c>
    </row>
    <row r="341" spans="1:49" ht="13.35" customHeight="1" x14ac:dyDescent="0.2">
      <c r="A341" s="41">
        <v>1.4002000000000012</v>
      </c>
      <c r="B341" s="12">
        <v>-15</v>
      </c>
      <c r="E341" s="59" t="s">
        <v>3074</v>
      </c>
      <c r="F341" s="12">
        <v>52</v>
      </c>
      <c r="G341" s="12" t="s">
        <v>204</v>
      </c>
      <c r="H341" s="12" t="s">
        <v>3066</v>
      </c>
      <c r="I341" s="12" t="s">
        <v>3075</v>
      </c>
      <c r="J341" s="12" t="s">
        <v>3076</v>
      </c>
      <c r="K341" s="12" t="s">
        <v>3077</v>
      </c>
      <c r="L341" s="12" t="s">
        <v>3077</v>
      </c>
      <c r="M341" s="12" t="s">
        <v>3078</v>
      </c>
      <c r="Y341" s="12" t="s">
        <v>1997</v>
      </c>
      <c r="Z341" s="12" t="s">
        <v>1998</v>
      </c>
      <c r="AA341" s="12" t="s">
        <v>3079</v>
      </c>
      <c r="AB341" s="12" t="s">
        <v>2799</v>
      </c>
      <c r="AC341" s="12" t="s">
        <v>3080</v>
      </c>
      <c r="AD341" s="12" t="s">
        <v>3081</v>
      </c>
      <c r="AE341" s="12" t="s">
        <v>2130</v>
      </c>
      <c r="AF341" s="12" t="s">
        <v>3082</v>
      </c>
      <c r="AG341" s="12" t="s">
        <v>3083</v>
      </c>
      <c r="AH341" s="12" t="s">
        <v>2042</v>
      </c>
      <c r="AI341" s="12" t="s">
        <v>2155</v>
      </c>
      <c r="AJ341" s="12" t="s">
        <v>2858</v>
      </c>
      <c r="AK341" s="12" t="s">
        <v>2666</v>
      </c>
      <c r="AL341" s="12" t="s">
        <v>3084</v>
      </c>
      <c r="AM341" s="12" t="s">
        <v>2836</v>
      </c>
      <c r="AN341" s="12" t="s">
        <v>3085</v>
      </c>
      <c r="AU341" s="12" t="s">
        <v>246</v>
      </c>
      <c r="AV341" s="12" t="s">
        <v>246</v>
      </c>
      <c r="AW341" s="12" t="s">
        <v>246</v>
      </c>
    </row>
    <row r="342" spans="1:49" ht="13.35" customHeight="1" x14ac:dyDescent="0.2">
      <c r="A342" s="41">
        <v>1.4256000000000011</v>
      </c>
      <c r="B342" s="12">
        <v>-15</v>
      </c>
      <c r="E342" s="59" t="s">
        <v>3086</v>
      </c>
      <c r="F342" s="12">
        <v>110</v>
      </c>
      <c r="G342" s="12" t="s">
        <v>204</v>
      </c>
      <c r="H342" s="12" t="s">
        <v>3087</v>
      </c>
      <c r="I342" s="12" t="s">
        <v>3088</v>
      </c>
      <c r="J342" s="12" t="s">
        <v>3089</v>
      </c>
      <c r="K342" s="12" t="s">
        <v>3090</v>
      </c>
      <c r="L342" s="12" t="s">
        <v>3091</v>
      </c>
      <c r="M342" s="12" t="s">
        <v>3092</v>
      </c>
      <c r="Y342" s="12" t="s">
        <v>2705</v>
      </c>
      <c r="Z342" s="12" t="s">
        <v>3093</v>
      </c>
      <c r="AA342" s="12" t="s">
        <v>2466</v>
      </c>
      <c r="AB342" s="12" t="s">
        <v>3094</v>
      </c>
      <c r="AC342" s="12" t="s">
        <v>4322</v>
      </c>
      <c r="AD342" s="12" t="s">
        <v>2458</v>
      </c>
      <c r="AE342" s="12" t="s">
        <v>2656</v>
      </c>
      <c r="AF342" s="12" t="s">
        <v>3095</v>
      </c>
      <c r="AG342" s="12" t="s">
        <v>3096</v>
      </c>
      <c r="AH342" s="12" t="s">
        <v>3097</v>
      </c>
      <c r="AI342" s="12" t="s">
        <v>2424</v>
      </c>
      <c r="AJ342" s="12" t="s">
        <v>2107</v>
      </c>
      <c r="AU342" s="12" t="s">
        <v>246</v>
      </c>
      <c r="AV342" s="12" t="s">
        <v>246</v>
      </c>
      <c r="AW342" s="12" t="s">
        <v>246</v>
      </c>
    </row>
    <row r="343" spans="1:49" ht="13.35" customHeight="1" x14ac:dyDescent="0.2">
      <c r="A343" s="41">
        <v>1.4510000000000012</v>
      </c>
      <c r="B343" s="12">
        <v>-15</v>
      </c>
      <c r="E343" s="59" t="s">
        <v>3098</v>
      </c>
      <c r="F343" s="12">
        <v>78</v>
      </c>
      <c r="G343" s="12" t="s">
        <v>204</v>
      </c>
      <c r="H343" s="12" t="s">
        <v>3099</v>
      </c>
      <c r="I343" s="12" t="s">
        <v>3100</v>
      </c>
      <c r="J343" s="12" t="s">
        <v>3101</v>
      </c>
      <c r="K343" s="12" t="s">
        <v>3102</v>
      </c>
      <c r="L343" s="12" t="s">
        <v>3103</v>
      </c>
      <c r="M343" s="12" t="s">
        <v>3104</v>
      </c>
      <c r="N343" s="12" t="s">
        <v>3105</v>
      </c>
      <c r="Y343" s="12" t="s">
        <v>2901</v>
      </c>
      <c r="Z343" s="12" t="s">
        <v>3106</v>
      </c>
      <c r="AA343" s="12" t="s">
        <v>2902</v>
      </c>
      <c r="AB343" s="12" t="s">
        <v>2035</v>
      </c>
      <c r="AC343" s="12" t="s">
        <v>3107</v>
      </c>
      <c r="AD343" s="12" t="s">
        <v>2931</v>
      </c>
      <c r="AE343" s="12" t="s">
        <v>2156</v>
      </c>
      <c r="AF343" s="12" t="s">
        <v>3108</v>
      </c>
      <c r="AG343" s="12" t="s">
        <v>2666</v>
      </c>
      <c r="AH343" s="12" t="s">
        <v>3109</v>
      </c>
      <c r="AI343" s="12" t="s">
        <v>3110</v>
      </c>
      <c r="AU343" s="12" t="s">
        <v>246</v>
      </c>
      <c r="AV343" s="12" t="s">
        <v>246</v>
      </c>
      <c r="AW343" s="12" t="s">
        <v>246</v>
      </c>
    </row>
    <row r="344" spans="1:49" ht="13.35" customHeight="1" x14ac:dyDescent="0.2">
      <c r="A344" s="41">
        <v>1.476400000000001</v>
      </c>
      <c r="B344" s="12">
        <v>-10</v>
      </c>
      <c r="E344" s="59" t="s">
        <v>3111</v>
      </c>
      <c r="F344" s="12">
        <v>43</v>
      </c>
      <c r="G344" s="12" t="s">
        <v>2229</v>
      </c>
      <c r="H344" s="12" t="s">
        <v>3033</v>
      </c>
      <c r="I344" s="12" t="s">
        <v>3112</v>
      </c>
      <c r="J344" s="12" t="s">
        <v>4321</v>
      </c>
      <c r="K344" s="12" t="s">
        <v>2541</v>
      </c>
      <c r="L344" s="12" t="s">
        <v>3113</v>
      </c>
      <c r="M344" s="12" t="s">
        <v>2774</v>
      </c>
      <c r="Y344" s="12" t="s">
        <v>2889</v>
      </c>
      <c r="Z344" s="12" t="s">
        <v>3114</v>
      </c>
      <c r="AA344" s="12" t="s">
        <v>2167</v>
      </c>
      <c r="AB344" s="12" t="s">
        <v>2609</v>
      </c>
      <c r="AC344" s="12" t="s">
        <v>2718</v>
      </c>
      <c r="AD344" s="12" t="s">
        <v>2326</v>
      </c>
      <c r="AE344" s="12" t="s">
        <v>2719</v>
      </c>
      <c r="AF344" s="12" t="s">
        <v>3083</v>
      </c>
      <c r="AG344" s="12" t="s">
        <v>2531</v>
      </c>
      <c r="AH344" s="12" t="s">
        <v>3097</v>
      </c>
      <c r="AI344" s="12" t="s">
        <v>3041</v>
      </c>
      <c r="AU344" s="12" t="s">
        <v>246</v>
      </c>
      <c r="AV344" s="12" t="s">
        <v>246</v>
      </c>
      <c r="AW344" s="12" t="s">
        <v>246</v>
      </c>
    </row>
    <row r="345" spans="1:49" ht="13.35" customHeight="1" x14ac:dyDescent="0.2">
      <c r="A345" s="41">
        <v>1.5018000000000009</v>
      </c>
      <c r="B345" s="12">
        <v>-10</v>
      </c>
      <c r="E345" s="59" t="s">
        <v>3115</v>
      </c>
      <c r="F345" s="12">
        <v>128</v>
      </c>
      <c r="G345" s="12" t="s">
        <v>204</v>
      </c>
      <c r="H345" s="12" t="s">
        <v>3116</v>
      </c>
      <c r="I345" s="12" t="s">
        <v>3117</v>
      </c>
      <c r="J345" s="12" t="s">
        <v>2774</v>
      </c>
      <c r="Y345" s="12" t="s">
        <v>2419</v>
      </c>
      <c r="Z345" s="12" t="s">
        <v>2942</v>
      </c>
      <c r="AB345" s="12" t="s">
        <v>2083</v>
      </c>
      <c r="AC345" s="12" t="s">
        <v>2447</v>
      </c>
      <c r="AD345" s="12" t="s">
        <v>2199</v>
      </c>
      <c r="AE345" s="12" t="s">
        <v>3118</v>
      </c>
      <c r="AF345" s="12" t="s">
        <v>2039</v>
      </c>
      <c r="AG345" s="12" t="s">
        <v>2281</v>
      </c>
      <c r="AH345" s="12" t="s">
        <v>2421</v>
      </c>
      <c r="AI345" s="12" t="s">
        <v>2422</v>
      </c>
      <c r="AJ345" s="12" t="s">
        <v>2905</v>
      </c>
      <c r="AK345" s="12" t="s">
        <v>2015</v>
      </c>
      <c r="AU345" s="12" t="s">
        <v>246</v>
      </c>
      <c r="AV345" s="12" t="s">
        <v>246</v>
      </c>
      <c r="AW345" s="12" t="s">
        <v>246</v>
      </c>
    </row>
    <row r="346" spans="1:49" ht="13.35" customHeight="1" x14ac:dyDescent="0.2">
      <c r="A346" s="41">
        <v>1.5272000000000008</v>
      </c>
      <c r="B346" s="12">
        <v>-10</v>
      </c>
      <c r="E346" s="59" t="s">
        <v>3119</v>
      </c>
      <c r="F346" s="12">
        <v>97</v>
      </c>
      <c r="G346" s="12" t="s">
        <v>204</v>
      </c>
      <c r="H346" s="12" t="s">
        <v>3120</v>
      </c>
      <c r="I346" s="12" t="s">
        <v>3034</v>
      </c>
      <c r="J346" s="12" t="s">
        <v>3121</v>
      </c>
      <c r="K346" s="12" t="s">
        <v>2541</v>
      </c>
      <c r="L346" s="12" t="s">
        <v>3122</v>
      </c>
      <c r="M346" s="12" t="s">
        <v>3123</v>
      </c>
      <c r="Y346" s="12" t="s">
        <v>3124</v>
      </c>
      <c r="Z346" s="12" t="s">
        <v>3125</v>
      </c>
      <c r="AA346" s="12" t="s">
        <v>2199</v>
      </c>
      <c r="AB346" s="12" t="s">
        <v>2200</v>
      </c>
      <c r="AC346" s="12" t="s">
        <v>3126</v>
      </c>
      <c r="AD346" s="12" t="s">
        <v>3127</v>
      </c>
      <c r="AE346" s="12" t="s">
        <v>2546</v>
      </c>
      <c r="AF346" s="12" t="s">
        <v>3128</v>
      </c>
      <c r="AU346" s="12" t="s">
        <v>246</v>
      </c>
      <c r="AV346" s="12" t="s">
        <v>246</v>
      </c>
      <c r="AW346" s="12" t="s">
        <v>246</v>
      </c>
    </row>
    <row r="347" spans="1:49" ht="13.35" customHeight="1" x14ac:dyDescent="0.2">
      <c r="A347" s="41">
        <v>1.5526000000000009</v>
      </c>
      <c r="B347" s="12">
        <v>-10</v>
      </c>
      <c r="E347" s="59" t="s">
        <v>3129</v>
      </c>
      <c r="F347" s="12">
        <v>32</v>
      </c>
      <c r="G347" s="12" t="s">
        <v>204</v>
      </c>
      <c r="H347" s="12" t="s">
        <v>1982</v>
      </c>
      <c r="I347" s="12" t="s">
        <v>2344</v>
      </c>
      <c r="J347" s="12" t="s">
        <v>3130</v>
      </c>
      <c r="K347" s="12" t="s">
        <v>2840</v>
      </c>
      <c r="L347" s="12" t="s">
        <v>3049</v>
      </c>
      <c r="Y347" s="12" t="s">
        <v>1987</v>
      </c>
      <c r="Z347" s="12" t="s">
        <v>2834</v>
      </c>
      <c r="AA347" s="12" t="s">
        <v>2352</v>
      </c>
      <c r="AB347" s="12" t="s">
        <v>3131</v>
      </c>
      <c r="AC347" s="12" t="s">
        <v>3132</v>
      </c>
      <c r="AD347" s="12" t="s">
        <v>2085</v>
      </c>
      <c r="AE347" s="12" t="s">
        <v>2132</v>
      </c>
      <c r="AF347" s="12" t="s">
        <v>2108</v>
      </c>
      <c r="AG347" s="12" t="s">
        <v>3133</v>
      </c>
      <c r="AH347" s="12" t="s">
        <v>3134</v>
      </c>
      <c r="AI347" s="12" t="s">
        <v>2015</v>
      </c>
      <c r="AJ347" s="12" t="s">
        <v>2170</v>
      </c>
      <c r="AK347" s="12" t="s">
        <v>2753</v>
      </c>
      <c r="AU347" s="12" t="s">
        <v>246</v>
      </c>
      <c r="AV347" s="12" t="s">
        <v>246</v>
      </c>
      <c r="AW347" s="12" t="s">
        <v>246</v>
      </c>
    </row>
    <row r="348" spans="1:49" ht="13.35" customHeight="1" x14ac:dyDescent="0.2">
      <c r="A348" s="41">
        <v>1.5780000000000007</v>
      </c>
      <c r="B348" s="12">
        <v>-10</v>
      </c>
      <c r="E348" s="59" t="s">
        <v>3135</v>
      </c>
      <c r="F348" s="12">
        <v>85</v>
      </c>
      <c r="G348" s="12" t="s">
        <v>2229</v>
      </c>
      <c r="H348" s="12" t="s">
        <v>3136</v>
      </c>
      <c r="I348" s="12" t="s">
        <v>3137</v>
      </c>
      <c r="J348" s="12" t="s">
        <v>3138</v>
      </c>
      <c r="K348" s="12" t="s">
        <v>3139</v>
      </c>
      <c r="L348" s="12" t="s">
        <v>3140</v>
      </c>
      <c r="M348" s="12" t="s">
        <v>3141</v>
      </c>
      <c r="N348" s="12" t="s">
        <v>3142</v>
      </c>
      <c r="Y348" s="12" t="s">
        <v>2016</v>
      </c>
      <c r="Z348" s="12" t="s">
        <v>3070</v>
      </c>
      <c r="AA348" s="12" t="s">
        <v>3071</v>
      </c>
      <c r="AB348" s="12" t="s">
        <v>2255</v>
      </c>
      <c r="AC348" s="12" t="s">
        <v>3072</v>
      </c>
      <c r="AD348" s="12" t="s">
        <v>3143</v>
      </c>
      <c r="AE348" s="12" t="s">
        <v>3144</v>
      </c>
      <c r="AF348" s="12" t="s">
        <v>3095</v>
      </c>
      <c r="AG348" s="12" t="s">
        <v>3145</v>
      </c>
      <c r="AH348" s="12" t="s">
        <v>3146</v>
      </c>
      <c r="AU348" s="12" t="s">
        <v>246</v>
      </c>
      <c r="AV348" s="12" t="s">
        <v>246</v>
      </c>
      <c r="AW348" s="12" t="s">
        <v>246</v>
      </c>
    </row>
    <row r="349" spans="1:49" ht="13.35" customHeight="1" x14ac:dyDescent="0.2">
      <c r="A349" s="41">
        <v>1.6034000000000006</v>
      </c>
      <c r="B349" s="12">
        <v>-10</v>
      </c>
      <c r="E349" s="59" t="s">
        <v>3147</v>
      </c>
      <c r="F349" s="12">
        <v>28</v>
      </c>
      <c r="G349" s="12" t="s">
        <v>204</v>
      </c>
      <c r="H349" s="12" t="s">
        <v>3148</v>
      </c>
      <c r="I349" s="12" t="s">
        <v>3149</v>
      </c>
      <c r="J349" s="12" t="s">
        <v>3150</v>
      </c>
      <c r="K349" s="12" t="s">
        <v>3151</v>
      </c>
      <c r="Y349" s="12" t="s">
        <v>3152</v>
      </c>
      <c r="Z349" s="12" t="s">
        <v>3153</v>
      </c>
      <c r="AA349" s="12" t="s">
        <v>2083</v>
      </c>
      <c r="AB349" s="12" t="s">
        <v>3154</v>
      </c>
      <c r="AC349" s="12" t="s">
        <v>2199</v>
      </c>
      <c r="AD349" s="12" t="s">
        <v>2751</v>
      </c>
      <c r="AE349" s="12" t="s">
        <v>3155</v>
      </c>
      <c r="AF349" s="12" t="s">
        <v>2107</v>
      </c>
      <c r="AU349" s="12" t="s">
        <v>246</v>
      </c>
      <c r="AV349" s="12" t="s">
        <v>246</v>
      </c>
      <c r="AW349" s="12" t="s">
        <v>246</v>
      </c>
    </row>
    <row r="350" spans="1:49" ht="13.35" customHeight="1" x14ac:dyDescent="0.2">
      <c r="A350" s="41">
        <v>1.6288000000000005</v>
      </c>
      <c r="B350" s="12">
        <v>-5</v>
      </c>
      <c r="E350" s="59" t="s">
        <v>3156</v>
      </c>
      <c r="F350" s="12">
        <v>45</v>
      </c>
      <c r="G350" s="12" t="s">
        <v>204</v>
      </c>
      <c r="H350" s="12" t="s">
        <v>3157</v>
      </c>
      <c r="I350" s="12" t="s">
        <v>3158</v>
      </c>
      <c r="J350" s="12" t="s">
        <v>3159</v>
      </c>
      <c r="K350" s="12" t="s">
        <v>3160</v>
      </c>
      <c r="L350" s="12" t="s">
        <v>3161</v>
      </c>
      <c r="M350" s="12" t="s">
        <v>3162</v>
      </c>
      <c r="N350" s="12" t="s">
        <v>3163</v>
      </c>
      <c r="Y350" s="12" t="s">
        <v>1991</v>
      </c>
      <c r="Z350" s="12" t="s">
        <v>2942</v>
      </c>
      <c r="AA350" s="12" t="s">
        <v>1997</v>
      </c>
      <c r="AB350" s="12" t="s">
        <v>3164</v>
      </c>
      <c r="AC350" s="12" t="s">
        <v>3165</v>
      </c>
      <c r="AD350" s="12" t="s">
        <v>2085</v>
      </c>
      <c r="AE350" s="12" t="s">
        <v>3040</v>
      </c>
      <c r="AF350" s="12" t="s">
        <v>2665</v>
      </c>
      <c r="AG350" s="12" t="s">
        <v>2155</v>
      </c>
      <c r="AH350" s="12" t="s">
        <v>2858</v>
      </c>
      <c r="AI350" s="12" t="s">
        <v>2127</v>
      </c>
      <c r="AJ350" s="12" t="s">
        <v>2128</v>
      </c>
      <c r="AK350" s="12" t="s">
        <v>2147</v>
      </c>
      <c r="AL350" s="12" t="s">
        <v>3166</v>
      </c>
      <c r="AU350" s="12" t="s">
        <v>246</v>
      </c>
      <c r="AV350" s="12" t="s">
        <v>246</v>
      </c>
      <c r="AW350" s="12" t="s">
        <v>246</v>
      </c>
    </row>
    <row r="351" spans="1:49" ht="13.35" customHeight="1" x14ac:dyDescent="0.2">
      <c r="A351" s="41">
        <v>1.6542000000000003</v>
      </c>
      <c r="B351" s="12">
        <v>-5</v>
      </c>
      <c r="E351" s="59" t="s">
        <v>3167</v>
      </c>
      <c r="F351" s="12">
        <v>44</v>
      </c>
      <c r="G351" s="12" t="s">
        <v>204</v>
      </c>
      <c r="H351" s="12" t="s">
        <v>3168</v>
      </c>
      <c r="I351" s="12" t="s">
        <v>3169</v>
      </c>
      <c r="J351" s="12" t="s">
        <v>3136</v>
      </c>
      <c r="K351" s="12" t="s">
        <v>3170</v>
      </c>
      <c r="L351" s="12" t="s">
        <v>3171</v>
      </c>
      <c r="M351" s="12" t="s">
        <v>3172</v>
      </c>
      <c r="Y351" s="12" t="s">
        <v>2194</v>
      </c>
      <c r="Z351" s="12" t="s">
        <v>3154</v>
      </c>
      <c r="AA351" s="12" t="s">
        <v>2130</v>
      </c>
      <c r="AB351" s="12" t="s">
        <v>2040</v>
      </c>
      <c r="AC351" s="12" t="s">
        <v>3173</v>
      </c>
      <c r="AD351" s="12" t="s">
        <v>2875</v>
      </c>
      <c r="AE351" s="12" t="s">
        <v>3174</v>
      </c>
      <c r="AF351" s="12" t="s">
        <v>3175</v>
      </c>
      <c r="AU351" s="12" t="s">
        <v>246</v>
      </c>
      <c r="AV351" s="12" t="s">
        <v>246</v>
      </c>
      <c r="AW351" s="12" t="s">
        <v>246</v>
      </c>
    </row>
    <row r="352" spans="1:49" ht="13.35" customHeight="1" x14ac:dyDescent="0.2">
      <c r="A352" s="41">
        <v>1.6796000000000004</v>
      </c>
      <c r="B352" s="12">
        <v>-5</v>
      </c>
      <c r="E352" s="59" t="s">
        <v>3176</v>
      </c>
      <c r="F352" s="12">
        <v>45</v>
      </c>
      <c r="G352" s="12" t="s">
        <v>204</v>
      </c>
      <c r="H352" s="12" t="s">
        <v>3177</v>
      </c>
      <c r="I352" s="12" t="s">
        <v>3178</v>
      </c>
      <c r="J352" s="12" t="s">
        <v>3179</v>
      </c>
      <c r="K352" s="12" t="s">
        <v>3180</v>
      </c>
      <c r="L352" s="12" t="s">
        <v>3181</v>
      </c>
      <c r="M352" s="12" t="s">
        <v>3182</v>
      </c>
      <c r="N352" s="12" t="s">
        <v>3183</v>
      </c>
      <c r="Y352" s="12" t="s">
        <v>2395</v>
      </c>
      <c r="Z352" s="12" t="s">
        <v>2942</v>
      </c>
      <c r="AA352" s="12" t="s">
        <v>2083</v>
      </c>
      <c r="AB352" s="12" t="s">
        <v>2215</v>
      </c>
      <c r="AC352" s="12" t="s">
        <v>2133</v>
      </c>
      <c r="AD352" s="12" t="s">
        <v>2942</v>
      </c>
      <c r="AE352" s="12" t="s">
        <v>2156</v>
      </c>
      <c r="AF352" s="12" t="s">
        <v>2128</v>
      </c>
      <c r="AG352" s="12" t="s">
        <v>2548</v>
      </c>
      <c r="AH352" s="12" t="s">
        <v>2128</v>
      </c>
      <c r="AI352" s="12" t="s">
        <v>2260</v>
      </c>
      <c r="AJ352" s="12" t="s">
        <v>3184</v>
      </c>
      <c r="AU352" s="12" t="s">
        <v>246</v>
      </c>
      <c r="AV352" s="12" t="s">
        <v>246</v>
      </c>
      <c r="AW352" s="12" t="s">
        <v>246</v>
      </c>
    </row>
    <row r="353" spans="1:49" ht="13.35" customHeight="1" x14ac:dyDescent="0.2">
      <c r="A353" s="41">
        <v>1.7050000000000003</v>
      </c>
      <c r="B353" s="12">
        <v>-5</v>
      </c>
      <c r="E353" s="59" t="s">
        <v>3185</v>
      </c>
      <c r="F353" s="12">
        <v>52</v>
      </c>
      <c r="G353" s="12" t="s">
        <v>204</v>
      </c>
      <c r="H353" s="12" t="s">
        <v>3186</v>
      </c>
      <c r="I353" s="12" t="s">
        <v>3034</v>
      </c>
      <c r="J353" s="12" t="s">
        <v>3187</v>
      </c>
      <c r="K353" s="12" t="s">
        <v>3188</v>
      </c>
      <c r="L353" s="12" t="s">
        <v>3189</v>
      </c>
      <c r="M353" s="12" t="s">
        <v>3190</v>
      </c>
      <c r="Y353" s="12" t="s">
        <v>2446</v>
      </c>
      <c r="Z353" s="12" t="s">
        <v>3191</v>
      </c>
      <c r="AA353" s="12" t="s">
        <v>2641</v>
      </c>
      <c r="AB353" s="12" t="s">
        <v>1991</v>
      </c>
      <c r="AC353" s="12" t="s">
        <v>3192</v>
      </c>
      <c r="AD353" s="12" t="s">
        <v>3193</v>
      </c>
      <c r="AE353" s="12" t="s">
        <v>3194</v>
      </c>
      <c r="AF353" s="12" t="s">
        <v>2167</v>
      </c>
      <c r="AG353" s="12" t="s">
        <v>2655</v>
      </c>
      <c r="AH353" s="12" t="s">
        <v>3195</v>
      </c>
      <c r="AI353" s="12" t="s">
        <v>2752</v>
      </c>
      <c r="AU353" s="12" t="s">
        <v>246</v>
      </c>
      <c r="AV353" s="12" t="s">
        <v>246</v>
      </c>
      <c r="AW353" s="12" t="s">
        <v>246</v>
      </c>
    </row>
    <row r="354" spans="1:49" ht="13.35" customHeight="1" x14ac:dyDescent="0.2">
      <c r="A354" s="41">
        <v>1.7304000000000002</v>
      </c>
      <c r="B354" s="12">
        <v>-5</v>
      </c>
      <c r="E354" s="59" t="s">
        <v>377</v>
      </c>
      <c r="F354" s="12">
        <v>14</v>
      </c>
      <c r="G354" s="12" t="s">
        <v>204</v>
      </c>
      <c r="H354" s="12" t="s">
        <v>3196</v>
      </c>
      <c r="I354" s="12" t="s">
        <v>3197</v>
      </c>
      <c r="J354" s="12" t="s">
        <v>3198</v>
      </c>
      <c r="K354" s="12" t="s">
        <v>3199</v>
      </c>
      <c r="L354" s="12" t="s">
        <v>3200</v>
      </c>
      <c r="M354" s="12" t="s">
        <v>3201</v>
      </c>
      <c r="Y354" s="12" t="s">
        <v>3202</v>
      </c>
      <c r="Z354" s="12" t="s">
        <v>1987</v>
      </c>
      <c r="AA354" s="12" t="s">
        <v>2834</v>
      </c>
      <c r="AB354" s="12" t="s">
        <v>2083</v>
      </c>
      <c r="AC354" s="12" t="s">
        <v>2107</v>
      </c>
      <c r="AD354" s="12" t="s">
        <v>2147</v>
      </c>
      <c r="AU354" s="12" t="s">
        <v>246</v>
      </c>
      <c r="AV354" s="12" t="s">
        <v>246</v>
      </c>
      <c r="AW354" s="12" t="s">
        <v>246</v>
      </c>
    </row>
    <row r="355" spans="1:49" ht="13.35" customHeight="1" x14ac:dyDescent="0.2">
      <c r="A355" s="41">
        <v>1.7558</v>
      </c>
      <c r="B355" s="12">
        <v>-5</v>
      </c>
      <c r="E355" s="59" t="s">
        <v>3203</v>
      </c>
      <c r="F355" s="12">
        <v>72</v>
      </c>
      <c r="G355" s="12" t="s">
        <v>2229</v>
      </c>
      <c r="H355" s="12" t="s">
        <v>2541</v>
      </c>
      <c r="I355" s="12" t="s">
        <v>3204</v>
      </c>
      <c r="J355" s="12" t="s">
        <v>2184</v>
      </c>
      <c r="K355" s="12" t="s">
        <v>2185</v>
      </c>
      <c r="L355" s="12" t="s">
        <v>2186</v>
      </c>
      <c r="M355" s="12" t="s">
        <v>2187</v>
      </c>
      <c r="N355" s="12" t="s">
        <v>3181</v>
      </c>
      <c r="O355" s="12" t="s">
        <v>3205</v>
      </c>
      <c r="P355" s="12" t="s">
        <v>3206</v>
      </c>
      <c r="Y355" s="12" t="s">
        <v>2194</v>
      </c>
      <c r="Z355" s="12" t="s">
        <v>2641</v>
      </c>
      <c r="AA355" s="12" t="s">
        <v>1999</v>
      </c>
      <c r="AB355" s="12" t="s">
        <v>2000</v>
      </c>
      <c r="AC355" s="12" t="s">
        <v>3207</v>
      </c>
      <c r="AD355" s="12" t="s">
        <v>3208</v>
      </c>
      <c r="AE355" s="12" t="s">
        <v>2548</v>
      </c>
      <c r="AF355" s="12" t="s">
        <v>2128</v>
      </c>
      <c r="AG355" s="12" t="s">
        <v>2260</v>
      </c>
      <c r="AH355" s="12" t="s">
        <v>2128</v>
      </c>
      <c r="AU355" s="12" t="s">
        <v>246</v>
      </c>
      <c r="AV355" s="12" t="s">
        <v>246</v>
      </c>
      <c r="AW355" s="12" t="s">
        <v>246</v>
      </c>
    </row>
    <row r="356" spans="1:49" ht="13.35" customHeight="1" x14ac:dyDescent="0.2">
      <c r="A356" s="41">
        <v>1.7812000000000001</v>
      </c>
      <c r="B356" s="12">
        <v>0</v>
      </c>
      <c r="E356" s="59" t="s">
        <v>3209</v>
      </c>
      <c r="F356" s="12">
        <v>22</v>
      </c>
      <c r="G356" s="12" t="s">
        <v>204</v>
      </c>
      <c r="H356" s="12" t="s">
        <v>2370</v>
      </c>
      <c r="I356" s="12" t="s">
        <v>3210</v>
      </c>
      <c r="J356" s="12" t="s">
        <v>3032</v>
      </c>
      <c r="K356" s="12" t="s">
        <v>2100</v>
      </c>
      <c r="L356" s="12" t="s">
        <v>3211</v>
      </c>
      <c r="M356" s="12" t="s">
        <v>3212</v>
      </c>
      <c r="N356" s="12" t="s">
        <v>3213</v>
      </c>
      <c r="O356" s="12" t="s">
        <v>3214</v>
      </c>
      <c r="Y356" s="12" t="s">
        <v>2379</v>
      </c>
      <c r="Z356" s="12" t="s">
        <v>3191</v>
      </c>
      <c r="AA356" s="12" t="s">
        <v>2799</v>
      </c>
      <c r="AB356" s="12" t="s">
        <v>3215</v>
      </c>
      <c r="AC356" s="12" t="s">
        <v>2199</v>
      </c>
      <c r="AD356" s="12" t="s">
        <v>3216</v>
      </c>
      <c r="AE356" s="12" t="s">
        <v>2717</v>
      </c>
      <c r="AF356" s="12" t="s">
        <v>2130</v>
      </c>
      <c r="AG356" s="12" t="s">
        <v>2354</v>
      </c>
      <c r="AH356" s="12" t="s">
        <v>3217</v>
      </c>
      <c r="AI356" s="12" t="s">
        <v>3218</v>
      </c>
      <c r="AJ356" s="12" t="s">
        <v>2892</v>
      </c>
      <c r="AK356" s="12" t="s">
        <v>2708</v>
      </c>
      <c r="AL356" s="12" t="s">
        <v>2322</v>
      </c>
      <c r="AM356" s="12" t="s">
        <v>2107</v>
      </c>
      <c r="AU356" s="12" t="s">
        <v>246</v>
      </c>
      <c r="AV356" s="12" t="s">
        <v>246</v>
      </c>
      <c r="AW356" s="12" t="s">
        <v>246</v>
      </c>
    </row>
    <row r="357" spans="1:49" ht="13.35" customHeight="1" x14ac:dyDescent="0.2">
      <c r="A357" s="41">
        <v>1.8066</v>
      </c>
      <c r="B357" s="12">
        <v>0</v>
      </c>
      <c r="E357" s="59" t="s">
        <v>3219</v>
      </c>
      <c r="F357" s="12">
        <v>98</v>
      </c>
      <c r="G357" s="12" t="s">
        <v>204</v>
      </c>
      <c r="H357" s="12" t="s">
        <v>3220</v>
      </c>
      <c r="I357" s="12" t="s">
        <v>3221</v>
      </c>
      <c r="J357" s="12" t="s">
        <v>3222</v>
      </c>
      <c r="K357" s="12" t="s">
        <v>3223</v>
      </c>
      <c r="L357" s="12" t="s">
        <v>3224</v>
      </c>
      <c r="M357" s="12" t="s">
        <v>3225</v>
      </c>
      <c r="Y357" s="12" t="s">
        <v>2146</v>
      </c>
      <c r="Z357" s="12" t="s">
        <v>2166</v>
      </c>
      <c r="AA357" s="12" t="s">
        <v>2226</v>
      </c>
      <c r="AB357" s="12" t="s">
        <v>3226</v>
      </c>
      <c r="AC357" s="12" t="s">
        <v>2199</v>
      </c>
      <c r="AD357" s="12" t="s">
        <v>2200</v>
      </c>
      <c r="AE357" s="12" t="s">
        <v>2130</v>
      </c>
      <c r="AF357" s="12" t="s">
        <v>2775</v>
      </c>
      <c r="AG357" s="12" t="s">
        <v>2206</v>
      </c>
      <c r="AH357" s="12" t="s">
        <v>2804</v>
      </c>
      <c r="AI357" s="12" t="s">
        <v>2805</v>
      </c>
      <c r="AJ357" s="12" t="s">
        <v>2466</v>
      </c>
      <c r="AK357" s="12" t="s">
        <v>2982</v>
      </c>
      <c r="AL357" s="12" t="s">
        <v>3227</v>
      </c>
      <c r="AM357" s="12" t="s">
        <v>3228</v>
      </c>
      <c r="AU357" s="12" t="s">
        <v>246</v>
      </c>
      <c r="AV357" s="12" t="s">
        <v>246</v>
      </c>
      <c r="AW357" s="12" t="s">
        <v>246</v>
      </c>
    </row>
    <row r="358" spans="1:49" ht="13.35" customHeight="1" x14ac:dyDescent="0.2">
      <c r="A358" s="41">
        <v>1.8319999999999999</v>
      </c>
      <c r="B358" s="12">
        <v>0</v>
      </c>
      <c r="E358" s="59" t="s">
        <v>3229</v>
      </c>
      <c r="F358" s="12">
        <v>74</v>
      </c>
      <c r="G358" s="12" t="s">
        <v>204</v>
      </c>
      <c r="H358" s="12" t="s">
        <v>3230</v>
      </c>
      <c r="I358" s="12" t="s">
        <v>2935</v>
      </c>
      <c r="J358" s="12" t="s">
        <v>3231</v>
      </c>
      <c r="K358" s="12" t="s">
        <v>3232</v>
      </c>
      <c r="L358" s="12" t="s">
        <v>3233</v>
      </c>
      <c r="Y358" s="12" t="s">
        <v>3124</v>
      </c>
      <c r="Z358" s="12" t="s">
        <v>3234</v>
      </c>
      <c r="AA358" s="12" t="s">
        <v>2167</v>
      </c>
      <c r="AB358" s="12" t="s">
        <v>2943</v>
      </c>
      <c r="AC358" s="12" t="s">
        <v>3235</v>
      </c>
      <c r="AD358" s="12" t="s">
        <v>3236</v>
      </c>
      <c r="AU358" s="12" t="s">
        <v>246</v>
      </c>
      <c r="AV358" s="12" t="s">
        <v>246</v>
      </c>
      <c r="AW358" s="12" t="s">
        <v>246</v>
      </c>
    </row>
    <row r="359" spans="1:49" ht="13.35" customHeight="1" x14ac:dyDescent="0.2">
      <c r="A359" s="41">
        <v>1.8573999999999997</v>
      </c>
      <c r="B359" s="12">
        <v>0</v>
      </c>
      <c r="E359" s="59" t="s">
        <v>3237</v>
      </c>
      <c r="F359" s="12">
        <v>41</v>
      </c>
      <c r="G359" s="12" t="s">
        <v>204</v>
      </c>
      <c r="H359" s="12" t="s">
        <v>3238</v>
      </c>
      <c r="I359" s="12" t="s">
        <v>3067</v>
      </c>
      <c r="J359" s="12" t="s">
        <v>3035</v>
      </c>
      <c r="K359" s="12" t="s">
        <v>3239</v>
      </c>
      <c r="L359" s="12" t="s">
        <v>3240</v>
      </c>
      <c r="Y359" s="12" t="s">
        <v>2379</v>
      </c>
      <c r="Z359" s="12" t="s">
        <v>2015</v>
      </c>
      <c r="AA359" s="12" t="s">
        <v>2083</v>
      </c>
      <c r="AB359" s="12" t="s">
        <v>2282</v>
      </c>
      <c r="AC359" s="12" t="s">
        <v>3241</v>
      </c>
      <c r="AD359" s="12" t="s">
        <v>2942</v>
      </c>
      <c r="AE359" s="12" t="s">
        <v>2199</v>
      </c>
      <c r="AF359" s="12" t="s">
        <v>2015</v>
      </c>
      <c r="AG359" s="12" t="s">
        <v>2326</v>
      </c>
      <c r="AH359" s="12" t="s">
        <v>2368</v>
      </c>
      <c r="AU359" s="12" t="s">
        <v>246</v>
      </c>
      <c r="AV359" s="12" t="s">
        <v>246</v>
      </c>
      <c r="AW359" s="12" t="s">
        <v>246</v>
      </c>
    </row>
    <row r="360" spans="1:49" ht="13.35" customHeight="1" x14ac:dyDescent="0.2">
      <c r="A360" s="41">
        <v>1.8827999999999998</v>
      </c>
      <c r="B360" s="12">
        <v>0</v>
      </c>
      <c r="E360" s="59" t="s">
        <v>3242</v>
      </c>
      <c r="F360" s="12">
        <v>29</v>
      </c>
      <c r="G360" s="12" t="s">
        <v>204</v>
      </c>
      <c r="H360" s="12" t="s">
        <v>3243</v>
      </c>
      <c r="I360" s="12" t="s">
        <v>3244</v>
      </c>
      <c r="J360" s="12" t="s">
        <v>3245</v>
      </c>
      <c r="K360" s="12" t="s">
        <v>3246</v>
      </c>
      <c r="L360" s="12" t="s">
        <v>3247</v>
      </c>
      <c r="Y360" s="12" t="s">
        <v>2716</v>
      </c>
      <c r="Z360" s="12" t="s">
        <v>3039</v>
      </c>
      <c r="AA360" s="12" t="s">
        <v>2255</v>
      </c>
      <c r="AB360" s="12" t="s">
        <v>3248</v>
      </c>
      <c r="AC360" s="12" t="s">
        <v>2835</v>
      </c>
      <c r="AD360" s="12" t="s">
        <v>3249</v>
      </c>
      <c r="AE360" s="12" t="s">
        <v>2260</v>
      </c>
      <c r="AF360" s="12" t="s">
        <v>3250</v>
      </c>
      <c r="AG360" s="12" t="s">
        <v>3251</v>
      </c>
      <c r="AH360" s="12" t="s">
        <v>2128</v>
      </c>
      <c r="AU360" s="12" t="s">
        <v>246</v>
      </c>
      <c r="AV360" s="12" t="s">
        <v>246</v>
      </c>
      <c r="AW360" s="12" t="s">
        <v>246</v>
      </c>
    </row>
    <row r="361" spans="1:49" ht="13.35" customHeight="1" x14ac:dyDescent="0.2">
      <c r="A361" s="41">
        <v>1.9081999999999995</v>
      </c>
      <c r="B361" s="12">
        <v>0</v>
      </c>
      <c r="E361" s="59" t="s">
        <v>3252</v>
      </c>
      <c r="F361" s="12">
        <v>132</v>
      </c>
      <c r="G361" s="12" t="s">
        <v>204</v>
      </c>
      <c r="H361" s="12" t="s">
        <v>3253</v>
      </c>
      <c r="I361" s="12" t="s">
        <v>3254</v>
      </c>
      <c r="J361" s="12" t="s">
        <v>3255</v>
      </c>
      <c r="K361" s="12" t="s">
        <v>3256</v>
      </c>
      <c r="Y361" s="12" t="s">
        <v>2446</v>
      </c>
      <c r="Z361" s="12" t="s">
        <v>3257</v>
      </c>
      <c r="AA361" s="12" t="s">
        <v>2368</v>
      </c>
      <c r="AB361" s="12" t="s">
        <v>2237</v>
      </c>
      <c r="AC361" s="12" t="s">
        <v>2295</v>
      </c>
      <c r="AD361" s="12" t="s">
        <v>2199</v>
      </c>
      <c r="AE361" s="12" t="s">
        <v>2128</v>
      </c>
      <c r="AF361" s="12" t="s">
        <v>2130</v>
      </c>
      <c r="AG361" s="12" t="s">
        <v>3173</v>
      </c>
      <c r="AH361" s="12" t="s">
        <v>2355</v>
      </c>
      <c r="AI361" s="12" t="s">
        <v>2356</v>
      </c>
      <c r="AJ361" s="12" t="s">
        <v>2206</v>
      </c>
      <c r="AK361" s="12" t="s">
        <v>3258</v>
      </c>
      <c r="AU361" s="12" t="s">
        <v>246</v>
      </c>
      <c r="AV361" s="12" t="s">
        <v>246</v>
      </c>
      <c r="AW361" s="12" t="s">
        <v>246</v>
      </c>
    </row>
    <row r="362" spans="1:49" ht="13.35" customHeight="1" x14ac:dyDescent="0.2">
      <c r="A362" s="41">
        <v>1.9335999999999995</v>
      </c>
      <c r="B362" s="12">
        <v>5</v>
      </c>
      <c r="E362" s="59" t="s">
        <v>3259</v>
      </c>
      <c r="F362" s="12">
        <v>113</v>
      </c>
      <c r="G362" s="12" t="s">
        <v>2229</v>
      </c>
      <c r="H362" s="12" t="s">
        <v>3120</v>
      </c>
      <c r="I362" s="12" t="s">
        <v>3260</v>
      </c>
      <c r="J362" s="12" t="s">
        <v>3261</v>
      </c>
      <c r="K362" s="12" t="s">
        <v>3136</v>
      </c>
      <c r="L362" s="12" t="s">
        <v>3113</v>
      </c>
      <c r="M362" s="12" t="s">
        <v>3035</v>
      </c>
      <c r="N362" s="12" t="s">
        <v>3035</v>
      </c>
      <c r="O362" s="12" t="s">
        <v>2236</v>
      </c>
      <c r="Y362" s="12" t="s">
        <v>1997</v>
      </c>
      <c r="Z362" s="12" t="s">
        <v>2750</v>
      </c>
      <c r="AA362" s="12" t="s">
        <v>2199</v>
      </c>
      <c r="AB362" s="12" t="s">
        <v>2241</v>
      </c>
      <c r="AC362" s="12" t="s">
        <v>2130</v>
      </c>
      <c r="AD362" s="12" t="s">
        <v>3083</v>
      </c>
      <c r="AE362" s="12" t="s">
        <v>2531</v>
      </c>
      <c r="AF362" s="12" t="s">
        <v>2000</v>
      </c>
      <c r="AG362" s="12" t="s">
        <v>2612</v>
      </c>
      <c r="AH362" s="12" t="s">
        <v>2878</v>
      </c>
      <c r="AI362" s="12" t="s">
        <v>3262</v>
      </c>
      <c r="AJ362" s="12" t="s">
        <v>2836</v>
      </c>
      <c r="AK362" s="12" t="s">
        <v>2790</v>
      </c>
      <c r="AU362" s="12" t="s">
        <v>246</v>
      </c>
      <c r="AV362" s="12" t="s">
        <v>246</v>
      </c>
      <c r="AW362" s="12" t="s">
        <v>246</v>
      </c>
    </row>
    <row r="363" spans="1:49" ht="13.35" customHeight="1" x14ac:dyDescent="0.2">
      <c r="A363" s="41">
        <v>1.9589999999999994</v>
      </c>
      <c r="B363" s="12">
        <v>5</v>
      </c>
      <c r="E363" s="59" t="s">
        <v>3263</v>
      </c>
      <c r="F363" s="12">
        <v>36</v>
      </c>
      <c r="G363" s="12" t="s">
        <v>2229</v>
      </c>
      <c r="H363" s="12" t="s">
        <v>3264</v>
      </c>
      <c r="I363" s="12" t="s">
        <v>3265</v>
      </c>
      <c r="J363" s="12" t="s">
        <v>3266</v>
      </c>
      <c r="K363" s="12" t="s">
        <v>3267</v>
      </c>
      <c r="L363" s="12" t="s">
        <v>3268</v>
      </c>
      <c r="M363" s="12" t="s">
        <v>3269</v>
      </c>
      <c r="Y363" s="12" t="s">
        <v>3202</v>
      </c>
      <c r="Z363" s="12" t="s">
        <v>3270</v>
      </c>
      <c r="AA363" s="12" t="s">
        <v>1993</v>
      </c>
      <c r="AB363" s="12" t="s">
        <v>3271</v>
      </c>
      <c r="AC363" s="12" t="s">
        <v>3272</v>
      </c>
      <c r="AD363" s="12" t="s">
        <v>3272</v>
      </c>
      <c r="AE363" s="12" t="s">
        <v>3272</v>
      </c>
      <c r="AF363" s="12" t="s">
        <v>2407</v>
      </c>
      <c r="AG363" s="12" t="s">
        <v>2227</v>
      </c>
      <c r="AH363" s="12" t="s">
        <v>2107</v>
      </c>
      <c r="AU363" s="12" t="s">
        <v>246</v>
      </c>
      <c r="AV363" s="12" t="s">
        <v>246</v>
      </c>
      <c r="AW363" s="12" t="s">
        <v>246</v>
      </c>
    </row>
    <row r="364" spans="1:49" ht="13.35" customHeight="1" x14ac:dyDescent="0.2">
      <c r="A364" s="41">
        <v>1.9843999999999995</v>
      </c>
      <c r="B364" s="12">
        <v>5</v>
      </c>
      <c r="E364" s="59" t="s">
        <v>3273</v>
      </c>
      <c r="F364" s="12">
        <v>30</v>
      </c>
      <c r="G364" s="12" t="s">
        <v>204</v>
      </c>
      <c r="H364" s="12" t="s">
        <v>1982</v>
      </c>
      <c r="I364" s="12" t="s">
        <v>1983</v>
      </c>
      <c r="J364" s="12" t="s">
        <v>3274</v>
      </c>
      <c r="K364" s="12" t="s">
        <v>3033</v>
      </c>
      <c r="L364" s="12" t="s">
        <v>3275</v>
      </c>
      <c r="M364" s="12" t="s">
        <v>3276</v>
      </c>
      <c r="Y364" s="12" t="s">
        <v>3277</v>
      </c>
      <c r="Z364" s="12" t="s">
        <v>2107</v>
      </c>
      <c r="AA364" s="12" t="s">
        <v>2352</v>
      </c>
      <c r="AB364" s="12" t="s">
        <v>2353</v>
      </c>
      <c r="AC364" s="12" t="s">
        <v>2199</v>
      </c>
      <c r="AD364" s="12" t="s">
        <v>3278</v>
      </c>
      <c r="AE364" s="12" t="s">
        <v>2960</v>
      </c>
      <c r="AF364" s="12" t="s">
        <v>2107</v>
      </c>
      <c r="AG364" s="12" t="s">
        <v>2355</v>
      </c>
      <c r="AH364" s="12" t="s">
        <v>2356</v>
      </c>
      <c r="AI364" s="12" t="s">
        <v>2108</v>
      </c>
      <c r="AJ364" s="12" t="s">
        <v>3279</v>
      </c>
      <c r="AK364" s="12" t="s">
        <v>3280</v>
      </c>
      <c r="AL364" s="12" t="s">
        <v>2107</v>
      </c>
      <c r="AU364" s="12" t="s">
        <v>246</v>
      </c>
      <c r="AV364" s="12" t="s">
        <v>246</v>
      </c>
      <c r="AW364" s="12" t="s">
        <v>217</v>
      </c>
    </row>
    <row r="365" spans="1:49" ht="13.35" customHeight="1" x14ac:dyDescent="0.2">
      <c r="A365" s="41">
        <v>2.0097999999999994</v>
      </c>
      <c r="B365" s="12">
        <v>5</v>
      </c>
      <c r="E365" s="59" t="s">
        <v>3281</v>
      </c>
      <c r="F365" s="12">
        <v>74</v>
      </c>
      <c r="G365" s="12" t="s">
        <v>2229</v>
      </c>
      <c r="H365" s="12" t="s">
        <v>3282</v>
      </c>
      <c r="I365" s="12" t="s">
        <v>2222</v>
      </c>
      <c r="J365" s="12" t="s">
        <v>3283</v>
      </c>
      <c r="K365" s="12" t="s">
        <v>3120</v>
      </c>
      <c r="L365" s="12" t="s">
        <v>3284</v>
      </c>
      <c r="M365" s="12" t="s">
        <v>3285</v>
      </c>
      <c r="Y365" s="12" t="s">
        <v>2130</v>
      </c>
      <c r="Z365" s="12" t="s">
        <v>3040</v>
      </c>
      <c r="AA365" s="12" t="s">
        <v>2042</v>
      </c>
      <c r="AB365" s="12" t="s">
        <v>2199</v>
      </c>
      <c r="AC365" s="12" t="s">
        <v>2960</v>
      </c>
      <c r="AD365" s="12" t="s">
        <v>2655</v>
      </c>
      <c r="AE365" s="12" t="s">
        <v>2083</v>
      </c>
      <c r="AF365" s="12" t="s">
        <v>2179</v>
      </c>
      <c r="AG365" s="12" t="s">
        <v>2260</v>
      </c>
      <c r="AH365" s="12" t="s">
        <v>2790</v>
      </c>
      <c r="AI365" s="12" t="s">
        <v>2147</v>
      </c>
      <c r="AJ365" s="12" t="s">
        <v>3286</v>
      </c>
      <c r="AK365" s="12" t="s">
        <v>2708</v>
      </c>
      <c r="AL365" s="12" t="s">
        <v>3287</v>
      </c>
      <c r="AM365" s="12" t="s">
        <v>3288</v>
      </c>
      <c r="AU365" s="12" t="s">
        <v>246</v>
      </c>
      <c r="AV365" s="12" t="s">
        <v>246</v>
      </c>
      <c r="AW365" s="12" t="s">
        <v>246</v>
      </c>
    </row>
    <row r="366" spans="1:49" ht="13.35" customHeight="1" x14ac:dyDescent="0.2">
      <c r="A366" s="41">
        <v>2.0351999999999992</v>
      </c>
      <c r="B366" s="12">
        <v>5</v>
      </c>
      <c r="E366" s="59" t="s">
        <v>3289</v>
      </c>
      <c r="F366" s="12">
        <v>29</v>
      </c>
      <c r="G366" s="12" t="s">
        <v>204</v>
      </c>
      <c r="H366" s="12" t="s">
        <v>3290</v>
      </c>
      <c r="I366" s="12" t="s">
        <v>2233</v>
      </c>
      <c r="J366" s="12" t="s">
        <v>3291</v>
      </c>
      <c r="K366" s="12" t="s">
        <v>3292</v>
      </c>
      <c r="L366" s="12" t="s">
        <v>3293</v>
      </c>
      <c r="M366" s="12" t="s">
        <v>3294</v>
      </c>
      <c r="Y366" s="12" t="s">
        <v>2889</v>
      </c>
      <c r="Z366" s="12" t="s">
        <v>2107</v>
      </c>
      <c r="AA366" s="12" t="s">
        <v>2199</v>
      </c>
      <c r="AB366" s="12" t="s">
        <v>2378</v>
      </c>
      <c r="AC366" s="12" t="s">
        <v>3295</v>
      </c>
      <c r="AD366" s="12" t="s">
        <v>2107</v>
      </c>
      <c r="AE366" s="12" t="s">
        <v>2083</v>
      </c>
      <c r="AF366" s="12" t="s">
        <v>3296</v>
      </c>
      <c r="AG366" s="12" t="s">
        <v>2708</v>
      </c>
      <c r="AH366" s="12" t="s">
        <v>2128</v>
      </c>
      <c r="AU366" s="12" t="s">
        <v>246</v>
      </c>
      <c r="AV366" s="12" t="s">
        <v>246</v>
      </c>
      <c r="AW366" s="12" t="s">
        <v>246</v>
      </c>
    </row>
    <row r="367" spans="1:49" ht="13.35" customHeight="1" x14ac:dyDescent="0.2">
      <c r="A367" s="41">
        <v>2.0605999999999991</v>
      </c>
      <c r="B367" s="12">
        <v>5</v>
      </c>
      <c r="E367" s="59" t="s">
        <v>3297</v>
      </c>
      <c r="F367" s="12">
        <v>95</v>
      </c>
      <c r="G367" s="12" t="s">
        <v>204</v>
      </c>
      <c r="H367" s="12" t="s">
        <v>3298</v>
      </c>
      <c r="I367" s="12" t="s">
        <v>3299</v>
      </c>
      <c r="J367" s="12" t="s">
        <v>3300</v>
      </c>
      <c r="K367" s="12" t="s">
        <v>3301</v>
      </c>
      <c r="L367" s="12" t="s">
        <v>2321</v>
      </c>
      <c r="Y367" s="12" t="s">
        <v>2406</v>
      </c>
      <c r="Z367" s="12" t="s">
        <v>3302</v>
      </c>
      <c r="AA367" s="12" t="s">
        <v>2310</v>
      </c>
      <c r="AB367" s="12" t="s">
        <v>2326</v>
      </c>
      <c r="AC367" s="12" t="s">
        <v>3303</v>
      </c>
      <c r="AD367" s="12" t="s">
        <v>2041</v>
      </c>
      <c r="AE367" s="12" t="s">
        <v>2017</v>
      </c>
      <c r="AF367" s="12" t="s">
        <v>2065</v>
      </c>
      <c r="AG367" s="12" t="s">
        <v>3304</v>
      </c>
      <c r="AH367" s="12" t="s">
        <v>2128</v>
      </c>
      <c r="AI367" s="12" t="s">
        <v>2035</v>
      </c>
      <c r="AJ367" s="12" t="s">
        <v>2128</v>
      </c>
      <c r="AU367" s="12" t="s">
        <v>246</v>
      </c>
      <c r="AV367" s="12" t="s">
        <v>246</v>
      </c>
      <c r="AW367" s="12" t="s">
        <v>215</v>
      </c>
    </row>
    <row r="368" spans="1:49" ht="13.35" customHeight="1" x14ac:dyDescent="0.2">
      <c r="A368" s="41">
        <v>2.085999999999999</v>
      </c>
      <c r="B368" s="12">
        <v>10</v>
      </c>
      <c r="E368" s="59" t="s">
        <v>3305</v>
      </c>
      <c r="F368" s="12">
        <v>76</v>
      </c>
      <c r="G368" s="12" t="s">
        <v>2229</v>
      </c>
      <c r="H368" s="12" t="s">
        <v>2398</v>
      </c>
      <c r="I368" s="12" t="s">
        <v>3033</v>
      </c>
      <c r="J368" s="12" t="s">
        <v>3306</v>
      </c>
      <c r="K368" s="12" t="s">
        <v>3307</v>
      </c>
      <c r="Y368" s="12" t="s">
        <v>3308</v>
      </c>
      <c r="Z368" s="12" t="s">
        <v>2107</v>
      </c>
      <c r="AA368" s="12" t="s">
        <v>2116</v>
      </c>
      <c r="AB368" s="12" t="s">
        <v>2107</v>
      </c>
      <c r="AC368" s="12" t="s">
        <v>3309</v>
      </c>
      <c r="AD368" s="12" t="s">
        <v>2107</v>
      </c>
      <c r="AE368" s="12" t="s">
        <v>2585</v>
      </c>
      <c r="AF368" s="12" t="s">
        <v>2107</v>
      </c>
      <c r="AG368" s="12" t="s">
        <v>3310</v>
      </c>
      <c r="AH368" s="12" t="s">
        <v>3311</v>
      </c>
      <c r="AI368" s="12" t="s">
        <v>3312</v>
      </c>
      <c r="AJ368" s="12" t="s">
        <v>3313</v>
      </c>
      <c r="AK368" s="12" t="s">
        <v>2108</v>
      </c>
      <c r="AL368" s="12" t="s">
        <v>2107</v>
      </c>
      <c r="AM368" s="12" t="s">
        <v>2834</v>
      </c>
      <c r="AN368" s="12" t="s">
        <v>2406</v>
      </c>
      <c r="AO368" s="12" t="s">
        <v>2107</v>
      </c>
      <c r="AP368" s="12" t="s">
        <v>3314</v>
      </c>
      <c r="AQ368" s="12" t="s">
        <v>3315</v>
      </c>
      <c r="AR368" s="12" t="s">
        <v>2268</v>
      </c>
      <c r="AS368" s="12" t="s">
        <v>3316</v>
      </c>
      <c r="AU368" s="12" t="s">
        <v>246</v>
      </c>
      <c r="AV368" s="12" t="s">
        <v>246</v>
      </c>
      <c r="AW368" s="12" t="s">
        <v>3317</v>
      </c>
    </row>
    <row r="369" spans="1:49" ht="13.35" customHeight="1" x14ac:dyDescent="0.2">
      <c r="A369" s="41">
        <v>2.1113999999999988</v>
      </c>
      <c r="B369" s="12">
        <v>10</v>
      </c>
      <c r="E369" s="59" t="s">
        <v>3318</v>
      </c>
      <c r="F369" s="12">
        <v>22</v>
      </c>
      <c r="G369" s="12" t="s">
        <v>204</v>
      </c>
      <c r="H369" s="12" t="s">
        <v>3319</v>
      </c>
      <c r="I369" s="12" t="s">
        <v>3320</v>
      </c>
      <c r="J369" s="12" t="s">
        <v>3321</v>
      </c>
      <c r="K369" s="12" t="s">
        <v>3322</v>
      </c>
      <c r="L369" s="12" t="s">
        <v>3323</v>
      </c>
      <c r="M369" s="12" t="s">
        <v>3324</v>
      </c>
      <c r="Y369" s="12" t="s">
        <v>2379</v>
      </c>
      <c r="Z369" s="12" t="s">
        <v>3325</v>
      </c>
      <c r="AA369" s="12" t="s">
        <v>2226</v>
      </c>
      <c r="AB369" s="12" t="s">
        <v>3326</v>
      </c>
      <c r="AC369" s="12" t="s">
        <v>2716</v>
      </c>
      <c r="AD369" s="12" t="s">
        <v>3327</v>
      </c>
      <c r="AE369" s="12" t="s">
        <v>2227</v>
      </c>
      <c r="AF369" s="12" t="s">
        <v>3278</v>
      </c>
      <c r="AU369" s="12" t="s">
        <v>246</v>
      </c>
      <c r="AV369" s="12" t="s">
        <v>246</v>
      </c>
      <c r="AW369" s="12" t="s">
        <v>246</v>
      </c>
    </row>
    <row r="370" spans="1:49" ht="13.35" customHeight="1" x14ac:dyDescent="0.2">
      <c r="A370" s="41">
        <v>2.1367999999999991</v>
      </c>
      <c r="B370" s="12">
        <v>10</v>
      </c>
      <c r="E370" s="59" t="s">
        <v>3328</v>
      </c>
      <c r="F370" s="12">
        <v>30</v>
      </c>
      <c r="G370" s="12" t="s">
        <v>204</v>
      </c>
      <c r="H370" s="12" t="s">
        <v>2840</v>
      </c>
      <c r="I370" s="12" t="s">
        <v>3254</v>
      </c>
      <c r="J370" s="12" t="s">
        <v>3329</v>
      </c>
      <c r="K370" s="12" t="s">
        <v>3330</v>
      </c>
      <c r="L370" s="12" t="s">
        <v>3331</v>
      </c>
      <c r="M370" s="12" t="s">
        <v>3332</v>
      </c>
      <c r="Y370" s="12" t="s">
        <v>2326</v>
      </c>
      <c r="Z370" s="12" t="s">
        <v>3333</v>
      </c>
      <c r="AA370" s="12" t="s">
        <v>2107</v>
      </c>
      <c r="AB370" s="12" t="s">
        <v>2889</v>
      </c>
      <c r="AC370" s="12" t="s">
        <v>2798</v>
      </c>
      <c r="AD370" s="12" t="s">
        <v>2355</v>
      </c>
      <c r="AE370" s="12" t="s">
        <v>3334</v>
      </c>
      <c r="AF370" s="12" t="s">
        <v>2206</v>
      </c>
      <c r="AG370" s="12" t="s">
        <v>2107</v>
      </c>
      <c r="AH370" s="12" t="s">
        <v>2964</v>
      </c>
      <c r="AI370" s="12" t="s">
        <v>2482</v>
      </c>
      <c r="AJ370" s="12" t="s">
        <v>2107</v>
      </c>
      <c r="AU370" s="12" t="s">
        <v>246</v>
      </c>
      <c r="AV370" s="12" t="s">
        <v>246</v>
      </c>
      <c r="AW370" s="12" t="s">
        <v>246</v>
      </c>
    </row>
    <row r="371" spans="1:49" ht="13.35" customHeight="1" x14ac:dyDescent="0.2">
      <c r="A371" s="41">
        <v>2.162199999999999</v>
      </c>
      <c r="B371" s="12">
        <v>10</v>
      </c>
      <c r="E371" s="59" t="s">
        <v>3335</v>
      </c>
      <c r="F371" s="12">
        <v>18</v>
      </c>
      <c r="G371" s="12" t="s">
        <v>204</v>
      </c>
      <c r="H371" s="12" t="s">
        <v>3336</v>
      </c>
      <c r="I371" s="12" t="s">
        <v>3337</v>
      </c>
      <c r="J371" s="12" t="s">
        <v>3338</v>
      </c>
      <c r="K371" s="12" t="s">
        <v>3339</v>
      </c>
      <c r="L371" s="12" t="s">
        <v>3340</v>
      </c>
      <c r="M371" s="12" t="s">
        <v>3341</v>
      </c>
      <c r="Y371" s="12" t="s">
        <v>2260</v>
      </c>
      <c r="Z371" s="12" t="s">
        <v>2790</v>
      </c>
      <c r="AA371" s="12" t="s">
        <v>2128</v>
      </c>
      <c r="AB371" s="12" t="s">
        <v>2227</v>
      </c>
      <c r="AC371" s="12" t="s">
        <v>3342</v>
      </c>
      <c r="AD371" s="12" t="s">
        <v>2170</v>
      </c>
      <c r="AE371" s="12" t="s">
        <v>2753</v>
      </c>
      <c r="AF371" s="12" t="s">
        <v>2133</v>
      </c>
      <c r="AG371" s="12" t="s">
        <v>3343</v>
      </c>
      <c r="AH371" s="12" t="s">
        <v>2107</v>
      </c>
      <c r="AI371" s="12" t="s">
        <v>2083</v>
      </c>
      <c r="AJ371" s="12" t="s">
        <v>2015</v>
      </c>
      <c r="AU371" s="12" t="s">
        <v>246</v>
      </c>
      <c r="AV371" s="12" t="s">
        <v>246</v>
      </c>
      <c r="AW371" s="12" t="s">
        <v>246</v>
      </c>
    </row>
    <row r="372" spans="1:49" ht="13.35" customHeight="1" x14ac:dyDescent="0.2">
      <c r="A372" s="41">
        <v>2.1875999999999989</v>
      </c>
      <c r="B372" s="12">
        <v>10</v>
      </c>
      <c r="E372" s="59" t="s">
        <v>3344</v>
      </c>
      <c r="F372" s="12">
        <v>31</v>
      </c>
      <c r="G372" s="12" t="s">
        <v>204</v>
      </c>
      <c r="H372" s="12" t="s">
        <v>3345</v>
      </c>
      <c r="I372" s="12" t="s">
        <v>3346</v>
      </c>
      <c r="J372" s="12" t="s">
        <v>3347</v>
      </c>
      <c r="K372" s="12" t="s">
        <v>3348</v>
      </c>
      <c r="L372" s="12" t="s">
        <v>3290</v>
      </c>
      <c r="M372" s="12" t="s">
        <v>3349</v>
      </c>
      <c r="Y372" s="12" t="s">
        <v>2130</v>
      </c>
      <c r="Z372" s="12" t="s">
        <v>3350</v>
      </c>
      <c r="AA372" s="12" t="s">
        <v>2226</v>
      </c>
      <c r="AB372" s="12" t="s">
        <v>3351</v>
      </c>
      <c r="AC372" s="12" t="s">
        <v>2083</v>
      </c>
      <c r="AD372" s="12" t="s">
        <v>3352</v>
      </c>
      <c r="AE372" s="12" t="s">
        <v>3353</v>
      </c>
      <c r="AF372" s="12" t="s">
        <v>2355</v>
      </c>
      <c r="AG372" s="12" t="s">
        <v>2107</v>
      </c>
      <c r="AH372" s="12" t="s">
        <v>2170</v>
      </c>
      <c r="AI372" s="12" t="s">
        <v>3288</v>
      </c>
      <c r="AU372" s="12" t="s">
        <v>246</v>
      </c>
      <c r="AV372" s="12" t="s">
        <v>246</v>
      </c>
      <c r="AW372" s="12" t="s">
        <v>246</v>
      </c>
    </row>
    <row r="373" spans="1:49" ht="13.35" customHeight="1" x14ac:dyDescent="0.2">
      <c r="A373" s="41">
        <v>2.2129999999999987</v>
      </c>
      <c r="B373" s="12">
        <v>10</v>
      </c>
      <c r="E373" s="59" t="s">
        <v>3354</v>
      </c>
      <c r="F373" s="12">
        <v>28</v>
      </c>
      <c r="G373" s="12" t="s">
        <v>2229</v>
      </c>
      <c r="H373" s="12" t="s">
        <v>3355</v>
      </c>
      <c r="I373" s="12" t="s">
        <v>3356</v>
      </c>
      <c r="J373" s="12" t="s">
        <v>3357</v>
      </c>
      <c r="K373" s="12" t="s">
        <v>3358</v>
      </c>
      <c r="L373" s="12" t="s">
        <v>3359</v>
      </c>
      <c r="M373" s="12" t="s">
        <v>3360</v>
      </c>
      <c r="Y373" s="12" t="s">
        <v>2199</v>
      </c>
      <c r="Z373" s="12" t="s">
        <v>3342</v>
      </c>
      <c r="AA373" s="12" t="s">
        <v>2107</v>
      </c>
      <c r="AB373" s="12" t="s">
        <v>2255</v>
      </c>
      <c r="AC373" s="12" t="s">
        <v>2423</v>
      </c>
      <c r="AD373" s="12" t="s">
        <v>2147</v>
      </c>
      <c r="AE373" s="12" t="s">
        <v>2708</v>
      </c>
      <c r="AF373" s="12" t="s">
        <v>2128</v>
      </c>
      <c r="AG373" s="12" t="s">
        <v>2421</v>
      </c>
      <c r="AH373" s="12" t="s">
        <v>2422</v>
      </c>
      <c r="AI373" s="12" t="s">
        <v>2083</v>
      </c>
      <c r="AJ373" s="12" t="s">
        <v>3361</v>
      </c>
      <c r="AK373" s="12" t="s">
        <v>3352</v>
      </c>
      <c r="AU373" s="12" t="s">
        <v>246</v>
      </c>
      <c r="AV373" s="12" t="s">
        <v>246</v>
      </c>
      <c r="AW373" s="12" t="s">
        <v>246</v>
      </c>
    </row>
    <row r="374" spans="1:49" ht="13.35" customHeight="1" x14ac:dyDescent="0.2">
      <c r="A374" s="41">
        <v>2.2383999999999986</v>
      </c>
      <c r="B374" s="12">
        <v>15</v>
      </c>
      <c r="E374" s="59" t="s">
        <v>3362</v>
      </c>
      <c r="F374" s="12">
        <v>32</v>
      </c>
      <c r="G374" s="12" t="s">
        <v>204</v>
      </c>
      <c r="H374" s="12" t="s">
        <v>3363</v>
      </c>
      <c r="I374" s="12" t="s">
        <v>3364</v>
      </c>
      <c r="J374" s="12" t="s">
        <v>3365</v>
      </c>
      <c r="K374" s="12" t="s">
        <v>3363</v>
      </c>
      <c r="L374" s="12" t="s">
        <v>3366</v>
      </c>
      <c r="M374" s="12" t="s">
        <v>3367</v>
      </c>
      <c r="Y374" s="12" t="s">
        <v>3368</v>
      </c>
      <c r="Z374" s="12" t="s">
        <v>2656</v>
      </c>
      <c r="AA374" s="12" t="s">
        <v>2107</v>
      </c>
      <c r="AB374" s="12" t="s">
        <v>2666</v>
      </c>
      <c r="AC374" s="12" t="s">
        <v>2107</v>
      </c>
      <c r="AD374" s="12" t="s">
        <v>3369</v>
      </c>
      <c r="AE374" s="12" t="s">
        <v>2107</v>
      </c>
      <c r="AF374" s="12" t="s">
        <v>2366</v>
      </c>
      <c r="AG374" s="12" t="s">
        <v>2107</v>
      </c>
      <c r="AH374" s="12" t="s">
        <v>2155</v>
      </c>
      <c r="AI374" s="12" t="s">
        <v>2107</v>
      </c>
      <c r="AJ374" s="12" t="s">
        <v>2255</v>
      </c>
      <c r="AK374" s="12" t="s">
        <v>3370</v>
      </c>
      <c r="AU374" s="12" t="s">
        <v>246</v>
      </c>
      <c r="AV374" s="12" t="s">
        <v>246</v>
      </c>
      <c r="AW374" s="12" t="s">
        <v>223</v>
      </c>
    </row>
    <row r="375" spans="1:49" ht="13.35" customHeight="1" x14ac:dyDescent="0.2">
      <c r="A375" s="41">
        <v>2.2637999999999985</v>
      </c>
      <c r="B375" s="12">
        <v>15</v>
      </c>
      <c r="E375" s="59" t="s">
        <v>3371</v>
      </c>
      <c r="F375" s="12">
        <v>9</v>
      </c>
      <c r="G375" s="12" t="s">
        <v>204</v>
      </c>
      <c r="H375" s="12" t="s">
        <v>3372</v>
      </c>
      <c r="I375" s="12" t="s">
        <v>3373</v>
      </c>
      <c r="J375" s="12" t="s">
        <v>3374</v>
      </c>
      <c r="K375" s="12" t="s">
        <v>3375</v>
      </c>
      <c r="L375" s="12" t="s">
        <v>3376</v>
      </c>
      <c r="M375" s="12" t="s">
        <v>3377</v>
      </c>
      <c r="N375" s="12" t="s">
        <v>3378</v>
      </c>
      <c r="Y375" s="12" t="s">
        <v>2147</v>
      </c>
      <c r="Z375" s="12" t="s">
        <v>2002</v>
      </c>
      <c r="AA375" s="12" t="s">
        <v>2199</v>
      </c>
      <c r="AB375" s="12" t="s">
        <v>3278</v>
      </c>
      <c r="AC375" s="12" t="s">
        <v>3379</v>
      </c>
      <c r="AD375" s="12" t="s">
        <v>2081</v>
      </c>
      <c r="AE375" s="12" t="s">
        <v>1996</v>
      </c>
      <c r="AF375" s="12" t="s">
        <v>2901</v>
      </c>
      <c r="AG375" s="12" t="s">
        <v>3380</v>
      </c>
      <c r="AH375" s="12" t="s">
        <v>2083</v>
      </c>
      <c r="AI375" s="12" t="s">
        <v>3381</v>
      </c>
      <c r="AU375" s="12" t="s">
        <v>246</v>
      </c>
      <c r="AV375" s="12" t="s">
        <v>246</v>
      </c>
      <c r="AW375" s="12" t="s">
        <v>231</v>
      </c>
    </row>
    <row r="376" spans="1:49" ht="13.35" customHeight="1" x14ac:dyDescent="0.2">
      <c r="A376" s="41">
        <v>2.2891999999999983</v>
      </c>
      <c r="B376" s="12">
        <v>15</v>
      </c>
      <c r="E376" s="59" t="s">
        <v>3382</v>
      </c>
      <c r="F376" s="12">
        <v>88</v>
      </c>
      <c r="G376" s="12" t="s">
        <v>2229</v>
      </c>
      <c r="H376" s="12" t="s">
        <v>3383</v>
      </c>
      <c r="I376" s="12" t="s">
        <v>3291</v>
      </c>
      <c r="J376" s="12" t="s">
        <v>2232</v>
      </c>
      <c r="K376" s="12" t="s">
        <v>3384</v>
      </c>
      <c r="L376" s="12" t="s">
        <v>3385</v>
      </c>
      <c r="M376" s="12" t="s">
        <v>3386</v>
      </c>
      <c r="N376" s="12" t="s">
        <v>2198</v>
      </c>
      <c r="Y376" s="12" t="s">
        <v>2901</v>
      </c>
      <c r="Z376" s="12" t="s">
        <v>2166</v>
      </c>
      <c r="AA376" s="12" t="s">
        <v>3387</v>
      </c>
      <c r="AB376" s="12" t="s">
        <v>2199</v>
      </c>
      <c r="AC376" s="12" t="s">
        <v>2241</v>
      </c>
      <c r="AD376" s="12" t="s">
        <v>2788</v>
      </c>
      <c r="AE376" s="12" t="s">
        <v>2130</v>
      </c>
      <c r="AF376" s="12" t="s">
        <v>2354</v>
      </c>
      <c r="AG376" s="12" t="s">
        <v>2128</v>
      </c>
      <c r="AH376" s="12" t="s">
        <v>2355</v>
      </c>
      <c r="AI376" s="12" t="s">
        <v>3388</v>
      </c>
      <c r="AJ376" s="12" t="s">
        <v>2260</v>
      </c>
      <c r="AK376" s="12" t="s">
        <v>2790</v>
      </c>
      <c r="AU376" s="12" t="s">
        <v>246</v>
      </c>
      <c r="AV376" s="12" t="s">
        <v>246</v>
      </c>
      <c r="AW376" s="12" t="s">
        <v>229</v>
      </c>
    </row>
    <row r="377" spans="1:49" ht="13.35" customHeight="1" x14ac:dyDescent="0.2">
      <c r="A377" s="41">
        <v>2.3145999999999982</v>
      </c>
      <c r="B377" s="12">
        <v>15</v>
      </c>
      <c r="E377" s="59" t="s">
        <v>3389</v>
      </c>
      <c r="F377" s="12">
        <v>26</v>
      </c>
      <c r="G377" s="12" t="s">
        <v>204</v>
      </c>
      <c r="H377" s="12" t="s">
        <v>3390</v>
      </c>
      <c r="I377" s="12" t="s">
        <v>3391</v>
      </c>
      <c r="J377" s="12" t="s">
        <v>3392</v>
      </c>
      <c r="K377" s="12" t="s">
        <v>3393</v>
      </c>
      <c r="L377" s="12" t="s">
        <v>3394</v>
      </c>
      <c r="M377" s="12" t="s">
        <v>3395</v>
      </c>
      <c r="Y377" s="12" t="s">
        <v>2103</v>
      </c>
      <c r="Z377" s="12" t="s">
        <v>3396</v>
      </c>
      <c r="AA377" s="12" t="s">
        <v>2260</v>
      </c>
      <c r="AB377" s="12" t="s">
        <v>3397</v>
      </c>
      <c r="AC377" s="12" t="s">
        <v>2214</v>
      </c>
      <c r="AD377" s="12" t="s">
        <v>2753</v>
      </c>
      <c r="AE377" s="12" t="s">
        <v>3398</v>
      </c>
      <c r="AF377" s="12" t="s">
        <v>3288</v>
      </c>
      <c r="AG377" s="12" t="s">
        <v>2130</v>
      </c>
      <c r="AH377" s="12" t="s">
        <v>3399</v>
      </c>
      <c r="AI377" s="12" t="s">
        <v>3400</v>
      </c>
      <c r="AU377" s="12" t="s">
        <v>246</v>
      </c>
      <c r="AV377" s="12" t="s">
        <v>246</v>
      </c>
      <c r="AW377" s="12" t="s">
        <v>246</v>
      </c>
    </row>
    <row r="378" spans="1:49" ht="13.35" customHeight="1" x14ac:dyDescent="0.2">
      <c r="A378" s="41">
        <v>2.3399999999999981</v>
      </c>
      <c r="B378" s="12">
        <v>15</v>
      </c>
      <c r="E378" s="59" t="s">
        <v>3401</v>
      </c>
      <c r="F378" s="12">
        <v>105</v>
      </c>
      <c r="G378" s="12" t="s">
        <v>2229</v>
      </c>
      <c r="H378" s="12" t="s">
        <v>3402</v>
      </c>
      <c r="I378" s="12" t="s">
        <v>3403</v>
      </c>
      <c r="J378" s="12" t="s">
        <v>3404</v>
      </c>
      <c r="K378" s="12" t="s">
        <v>3405</v>
      </c>
      <c r="L378" s="12" t="s">
        <v>2398</v>
      </c>
      <c r="M378" s="12" t="s">
        <v>3406</v>
      </c>
      <c r="Y378" s="12" t="s">
        <v>2192</v>
      </c>
      <c r="Z378" s="12" t="s">
        <v>3407</v>
      </c>
      <c r="AA378" s="12" t="s">
        <v>2107</v>
      </c>
      <c r="AB378" s="12" t="s">
        <v>2322</v>
      </c>
      <c r="AC378" s="12" t="s">
        <v>2107</v>
      </c>
      <c r="AD378" s="12" t="s">
        <v>2083</v>
      </c>
      <c r="AE378" s="12" t="s">
        <v>2480</v>
      </c>
      <c r="AF378" s="12" t="s">
        <v>2260</v>
      </c>
      <c r="AG378" s="12" t="s">
        <v>3085</v>
      </c>
      <c r="AH378" s="12" t="s">
        <v>2268</v>
      </c>
      <c r="AI378" s="12" t="s">
        <v>1994</v>
      </c>
      <c r="AJ378" s="12" t="s">
        <v>3314</v>
      </c>
      <c r="AK378" s="12" t="s">
        <v>1992</v>
      </c>
      <c r="AL378" s="12" t="s">
        <v>2035</v>
      </c>
      <c r="AM378" s="12" t="s">
        <v>3408</v>
      </c>
      <c r="AN378" s="12" t="s">
        <v>3258</v>
      </c>
      <c r="AO378" s="12" t="s">
        <v>2130</v>
      </c>
      <c r="AP378" s="12" t="s">
        <v>3173</v>
      </c>
      <c r="AU378" s="12" t="s">
        <v>246</v>
      </c>
      <c r="AV378" s="12" t="s">
        <v>246</v>
      </c>
      <c r="AW378" s="12" t="s">
        <v>246</v>
      </c>
    </row>
    <row r="379" spans="1:49" ht="13.35" customHeight="1" x14ac:dyDescent="0.2">
      <c r="A379" s="41">
        <v>2.3653999999999984</v>
      </c>
      <c r="B379" s="12">
        <v>15</v>
      </c>
      <c r="E379" s="59" t="s">
        <v>3409</v>
      </c>
      <c r="F379" s="12">
        <v>45</v>
      </c>
      <c r="G379" s="12" t="s">
        <v>204</v>
      </c>
      <c r="H379" s="12" t="s">
        <v>3410</v>
      </c>
      <c r="I379" s="12" t="s">
        <v>3077</v>
      </c>
      <c r="J379" s="12" t="s">
        <v>3411</v>
      </c>
      <c r="K379" s="12" t="s">
        <v>3412</v>
      </c>
      <c r="L379" s="12" t="s">
        <v>3413</v>
      </c>
      <c r="M379" s="12" t="s">
        <v>3414</v>
      </c>
      <c r="Y379" s="12" t="s">
        <v>2459</v>
      </c>
      <c r="Z379" s="12" t="s">
        <v>3415</v>
      </c>
      <c r="AA379" s="12" t="s">
        <v>2421</v>
      </c>
      <c r="AB379" s="12" t="s">
        <v>2422</v>
      </c>
      <c r="AC379" s="12" t="s">
        <v>2533</v>
      </c>
      <c r="AD379" s="12" t="s">
        <v>3416</v>
      </c>
      <c r="AE379" s="12" t="s">
        <v>2083</v>
      </c>
      <c r="AF379" s="12" t="s">
        <v>3417</v>
      </c>
      <c r="AG379" s="12" t="s">
        <v>3418</v>
      </c>
      <c r="AH379" s="12" t="s">
        <v>3419</v>
      </c>
      <c r="AI379" s="12" t="s">
        <v>3420</v>
      </c>
      <c r="AU379" s="12" t="s">
        <v>246</v>
      </c>
      <c r="AV379" s="12" t="s">
        <v>246</v>
      </c>
      <c r="AW379" s="12" t="s">
        <v>221</v>
      </c>
    </row>
    <row r="380" spans="1:49" ht="13.35" customHeight="1" x14ac:dyDescent="0.2">
      <c r="A380" s="41">
        <v>2.3907999999999983</v>
      </c>
      <c r="B380" s="12">
        <v>20</v>
      </c>
      <c r="E380" s="59" t="s">
        <v>3421</v>
      </c>
      <c r="F380" s="12">
        <v>30</v>
      </c>
      <c r="G380" s="12" t="s">
        <v>204</v>
      </c>
      <c r="H380" s="12" t="s">
        <v>2247</v>
      </c>
      <c r="I380" s="12" t="s">
        <v>2302</v>
      </c>
      <c r="J380" s="12" t="s">
        <v>3422</v>
      </c>
      <c r="K380" s="12" t="s">
        <v>3423</v>
      </c>
      <c r="L380" s="12" t="s">
        <v>3424</v>
      </c>
      <c r="M380" s="12" t="s">
        <v>3425</v>
      </c>
      <c r="Y380" s="12" t="s">
        <v>2065</v>
      </c>
      <c r="Z380" s="12" t="s">
        <v>3426</v>
      </c>
      <c r="AA380" s="12" t="s">
        <v>2641</v>
      </c>
      <c r="AB380" s="12" t="s">
        <v>2255</v>
      </c>
      <c r="AC380" s="12" t="s">
        <v>2257</v>
      </c>
      <c r="AD380" s="12" t="s">
        <v>2256</v>
      </c>
      <c r="AE380" s="12" t="s">
        <v>2260</v>
      </c>
      <c r="AF380" s="12" t="s">
        <v>692</v>
      </c>
      <c r="AG380" s="12" t="s">
        <v>2406</v>
      </c>
      <c r="AU380" s="12" t="s">
        <v>246</v>
      </c>
      <c r="AV380" s="12" t="s">
        <v>246</v>
      </c>
      <c r="AW380" s="12" t="s">
        <v>246</v>
      </c>
    </row>
    <row r="381" spans="1:49" ht="13.35" customHeight="1" x14ac:dyDescent="0.2">
      <c r="A381" s="41">
        <v>2.4161999999999981</v>
      </c>
      <c r="B381" s="12">
        <v>20</v>
      </c>
      <c r="E381" s="59" t="s">
        <v>3427</v>
      </c>
      <c r="F381" s="12">
        <v>4</v>
      </c>
      <c r="G381" s="12" t="s">
        <v>204</v>
      </c>
      <c r="H381" s="12" t="s">
        <v>3428</v>
      </c>
      <c r="Y381" s="12" t="s">
        <v>3429</v>
      </c>
      <c r="Z381" s="12" t="s">
        <v>3430</v>
      </c>
      <c r="AA381" s="12" t="s">
        <v>3431</v>
      </c>
      <c r="AB381" s="12" t="s">
        <v>3432</v>
      </c>
      <c r="AC381" s="12" t="s">
        <v>2576</v>
      </c>
      <c r="AD381" s="12" t="s">
        <v>3433</v>
      </c>
      <c r="AE381" s="12" t="s">
        <v>2104</v>
      </c>
      <c r="AF381" s="12" t="s">
        <v>728</v>
      </c>
      <c r="AG381" s="12" t="s">
        <v>3434</v>
      </c>
      <c r="AH381" s="12" t="s">
        <v>3435</v>
      </c>
      <c r="AU381" s="12" t="s">
        <v>246</v>
      </c>
      <c r="AV381" s="12" t="s">
        <v>246</v>
      </c>
      <c r="AW381" s="12" t="s">
        <v>246</v>
      </c>
    </row>
    <row r="382" spans="1:49" ht="13.35" customHeight="1" x14ac:dyDescent="0.2">
      <c r="A382" s="41">
        <v>2.441599999999998</v>
      </c>
      <c r="B382" s="12">
        <v>20</v>
      </c>
      <c r="E382" s="59" t="s">
        <v>1927</v>
      </c>
      <c r="F382" s="12">
        <v>27</v>
      </c>
      <c r="G382" s="12" t="s">
        <v>204</v>
      </c>
      <c r="H382" s="12" t="s">
        <v>3053</v>
      </c>
      <c r="I382" s="12" t="s">
        <v>3436</v>
      </c>
      <c r="J382" s="12" t="s">
        <v>3055</v>
      </c>
      <c r="K382" s="12" t="s">
        <v>3056</v>
      </c>
      <c r="L382" s="12" t="s">
        <v>3057</v>
      </c>
      <c r="M382" s="12" t="s">
        <v>3058</v>
      </c>
      <c r="N382" s="12" t="s">
        <v>3437</v>
      </c>
      <c r="O382" s="12" t="s">
        <v>3059</v>
      </c>
      <c r="Y382" s="12" t="s">
        <v>2133</v>
      </c>
      <c r="Z382" s="12" t="s">
        <v>2087</v>
      </c>
      <c r="AA382" s="12" t="s">
        <v>2312</v>
      </c>
      <c r="AB382" s="12" t="s">
        <v>2434</v>
      </c>
      <c r="AC382" s="12" t="s">
        <v>3063</v>
      </c>
      <c r="AD382" s="12" t="s">
        <v>2103</v>
      </c>
      <c r="AE382" s="12" t="s">
        <v>3438</v>
      </c>
      <c r="AF382" s="12" t="s">
        <v>2255</v>
      </c>
      <c r="AG382" s="12" t="s">
        <v>2256</v>
      </c>
      <c r="AH382" s="12" t="s">
        <v>3097</v>
      </c>
      <c r="AI382" s="12" t="s">
        <v>3439</v>
      </c>
      <c r="AU382" s="12" t="s">
        <v>246</v>
      </c>
      <c r="AV382" s="12" t="s">
        <v>246</v>
      </c>
      <c r="AW382" s="12" t="s">
        <v>246</v>
      </c>
    </row>
    <row r="383" spans="1:49" ht="13.35" customHeight="1" x14ac:dyDescent="0.2">
      <c r="A383" s="41">
        <v>2.4669999999999979</v>
      </c>
      <c r="B383" s="12">
        <v>20</v>
      </c>
      <c r="E383" s="59" t="s">
        <v>379</v>
      </c>
      <c r="F383" s="12">
        <v>73</v>
      </c>
      <c r="G383" s="12" t="s">
        <v>204</v>
      </c>
      <c r="H383" s="12" t="s">
        <v>1982</v>
      </c>
      <c r="I383" s="12" t="s">
        <v>3204</v>
      </c>
      <c r="J383" s="12" t="s">
        <v>3440</v>
      </c>
      <c r="Y383" s="12" t="s">
        <v>3441</v>
      </c>
      <c r="Z383" s="12" t="s">
        <v>2719</v>
      </c>
      <c r="AA383" s="12" t="s">
        <v>3442</v>
      </c>
      <c r="AB383" s="12" t="s">
        <v>2497</v>
      </c>
      <c r="AC383" s="12" t="s">
        <v>3443</v>
      </c>
      <c r="AD383" s="12" t="s">
        <v>2167</v>
      </c>
      <c r="AE383" s="12" t="s">
        <v>2718</v>
      </c>
      <c r="AF383" s="12" t="s">
        <v>2204</v>
      </c>
      <c r="AG383" s="12" t="s">
        <v>2107</v>
      </c>
      <c r="AU383" s="12" t="s">
        <v>246</v>
      </c>
      <c r="AV383" s="12" t="s">
        <v>246</v>
      </c>
      <c r="AW383" s="12" t="s">
        <v>233</v>
      </c>
    </row>
    <row r="384" spans="1:49" ht="13.35" customHeight="1" x14ac:dyDescent="0.2">
      <c r="A384" s="41">
        <v>2.4923999999999977</v>
      </c>
      <c r="B384" s="12">
        <v>20</v>
      </c>
      <c r="E384" s="44"/>
    </row>
    <row r="385" spans="1:5" ht="13.35" customHeight="1" x14ac:dyDescent="0.2">
      <c r="A385" s="41">
        <v>2.5177999999999976</v>
      </c>
      <c r="B385" s="12">
        <v>20</v>
      </c>
      <c r="E385" s="44"/>
    </row>
    <row r="386" spans="1:5" ht="13.35" customHeight="1" x14ac:dyDescent="0.2">
      <c r="A386" s="41">
        <v>2.5431999999999975</v>
      </c>
      <c r="B386" s="12">
        <v>25</v>
      </c>
      <c r="E386" s="44"/>
    </row>
    <row r="387" spans="1:5" ht="13.35" customHeight="1" x14ac:dyDescent="0.2">
      <c r="A387" s="41">
        <v>2.5685999999999978</v>
      </c>
      <c r="B387" s="12">
        <v>25</v>
      </c>
      <c r="E387" s="44"/>
    </row>
    <row r="388" spans="1:5" ht="13.35" customHeight="1" x14ac:dyDescent="0.2">
      <c r="A388" s="41">
        <v>2.5939999999999981</v>
      </c>
      <c r="B388" s="12">
        <v>25</v>
      </c>
      <c r="E388" s="44"/>
    </row>
    <row r="389" spans="1:5" ht="13.35" customHeight="1" x14ac:dyDescent="0.2">
      <c r="A389" s="41">
        <v>2.6193999999999984</v>
      </c>
      <c r="B389" s="12">
        <v>25</v>
      </c>
      <c r="E389" s="44"/>
    </row>
    <row r="390" spans="1:5" ht="13.35" customHeight="1" x14ac:dyDescent="0.2">
      <c r="A390" s="41">
        <v>2.6447999999999983</v>
      </c>
      <c r="B390" s="12">
        <v>25</v>
      </c>
      <c r="E390" s="44"/>
    </row>
    <row r="391" spans="1:5" ht="13.35" customHeight="1" x14ac:dyDescent="0.2">
      <c r="A391" s="41">
        <v>2.6701999999999986</v>
      </c>
      <c r="B391" s="12">
        <v>25</v>
      </c>
      <c r="E391" s="44"/>
    </row>
    <row r="392" spans="1:5" ht="13.35" customHeight="1" x14ac:dyDescent="0.2">
      <c r="E392" s="44"/>
    </row>
    <row r="393" spans="1:5" ht="13.35" customHeight="1" x14ac:dyDescent="0.2">
      <c r="E393" s="44"/>
    </row>
    <row r="394" spans="1:5" ht="13.35" customHeight="1" x14ac:dyDescent="0.2">
      <c r="A394" s="12" t="s">
        <v>4919</v>
      </c>
      <c r="B394" s="12" t="s">
        <v>4920</v>
      </c>
      <c r="E394" s="44"/>
    </row>
    <row r="395" spans="1:5" ht="13.35" customHeight="1" x14ac:dyDescent="0.2">
      <c r="A395" s="12">
        <v>0</v>
      </c>
      <c r="B395" s="12">
        <v>0</v>
      </c>
      <c r="E395" s="44"/>
    </row>
    <row r="396" spans="1:5" ht="13.35" customHeight="1" x14ac:dyDescent="0.2">
      <c r="A396" s="12">
        <v>1.0009999999999999</v>
      </c>
      <c r="B396" s="12">
        <v>-8</v>
      </c>
      <c r="E396" s="44"/>
    </row>
    <row r="397" spans="1:5" ht="13.35" customHeight="1" x14ac:dyDescent="0.2">
      <c r="A397" s="12">
        <v>2.0009999999999999</v>
      </c>
      <c r="B397" s="12">
        <v>-16</v>
      </c>
    </row>
    <row r="398" spans="1:5" ht="13.35" customHeight="1" x14ac:dyDescent="0.2">
      <c r="A398" s="12">
        <v>3.0009999999999999</v>
      </c>
      <c r="B398" s="12">
        <v>-24</v>
      </c>
    </row>
    <row r="399" spans="1:5" ht="13.35" customHeight="1" x14ac:dyDescent="0.2">
      <c r="A399" s="12">
        <v>4.0010000000000003</v>
      </c>
      <c r="B399" s="12">
        <v>-32</v>
      </c>
    </row>
    <row r="400" spans="1:5" ht="13.35" customHeight="1" x14ac:dyDescent="0.2">
      <c r="A400" s="12">
        <v>5.0010000000000003</v>
      </c>
      <c r="B400" s="12">
        <v>-40</v>
      </c>
    </row>
    <row r="401" spans="1:110" ht="13.35" customHeight="1" x14ac:dyDescent="0.2">
      <c r="A401" s="12">
        <v>6.0010000000000003</v>
      </c>
      <c r="B401" s="12">
        <v>-48</v>
      </c>
    </row>
    <row r="402" spans="1:110" ht="13.35" customHeight="1" x14ac:dyDescent="0.2">
      <c r="A402" s="12">
        <v>7.0010000000000003</v>
      </c>
      <c r="B402" s="12">
        <v>-56</v>
      </c>
    </row>
    <row r="403" spans="1:110" ht="13.35" customHeight="1" x14ac:dyDescent="0.2">
      <c r="A403" s="12">
        <v>8.0009999999999994</v>
      </c>
      <c r="B403" s="12">
        <v>-64</v>
      </c>
    </row>
    <row r="404" spans="1:110" ht="13.35" customHeight="1" x14ac:dyDescent="0.2">
      <c r="A404" s="12">
        <v>9.0009999999999994</v>
      </c>
      <c r="B404" s="12">
        <v>-72</v>
      </c>
    </row>
    <row r="405" spans="1:110" ht="13.35" customHeight="1" x14ac:dyDescent="0.2">
      <c r="A405" s="12">
        <v>10.000999999999999</v>
      </c>
      <c r="B405" s="12">
        <v>-80</v>
      </c>
    </row>
    <row r="406" spans="1:110" ht="13.35" customHeight="1" x14ac:dyDescent="0.2">
      <c r="A406" s="12">
        <v>11.000999999999999</v>
      </c>
      <c r="B406" s="12">
        <v>-88</v>
      </c>
    </row>
    <row r="407" spans="1:110" ht="13.35" customHeight="1" x14ac:dyDescent="0.2">
      <c r="A407" s="12">
        <v>12.000999999999999</v>
      </c>
      <c r="B407" s="12">
        <v>-96</v>
      </c>
    </row>
    <row r="408" spans="1:110" ht="13.35" customHeight="1" x14ac:dyDescent="0.2">
      <c r="A408" s="12">
        <v>13.000999999999999</v>
      </c>
      <c r="B408" s="12">
        <v>-104</v>
      </c>
    </row>
    <row r="409" spans="1:110" ht="13.35" customHeight="1" x14ac:dyDescent="0.2">
      <c r="A409" s="12">
        <v>14.000999999999999</v>
      </c>
      <c r="B409" s="12">
        <v>-112</v>
      </c>
    </row>
    <row r="410" spans="1:110" ht="13.35" customHeight="1" x14ac:dyDescent="0.2">
      <c r="A410" s="12">
        <v>15.000999999999999</v>
      </c>
      <c r="B410" s="12">
        <v>-120</v>
      </c>
    </row>
    <row r="411" spans="1:110" ht="13.35" customHeight="1" x14ac:dyDescent="0.2">
      <c r="A411" s="12">
        <v>16.001000000000001</v>
      </c>
      <c r="B411" s="12">
        <v>-128</v>
      </c>
    </row>
    <row r="412" spans="1:110" ht="13.35" customHeight="1" x14ac:dyDescent="0.2">
      <c r="A412" s="12">
        <v>17.001000000000001</v>
      </c>
      <c r="B412" s="12">
        <v>-136</v>
      </c>
      <c r="E412" s="12" t="s">
        <v>762</v>
      </c>
      <c r="F412" s="12" t="s">
        <v>763</v>
      </c>
      <c r="G412" s="12" t="s">
        <v>764</v>
      </c>
      <c r="H412" s="12" t="s">
        <v>765</v>
      </c>
      <c r="I412" s="12" t="s">
        <v>766</v>
      </c>
      <c r="J412" s="12" t="s">
        <v>767</v>
      </c>
      <c r="K412" s="12" t="s">
        <v>768</v>
      </c>
      <c r="L412" s="12" t="s">
        <v>769</v>
      </c>
      <c r="M412" s="12" t="s">
        <v>770</v>
      </c>
      <c r="N412" s="12" t="s">
        <v>771</v>
      </c>
      <c r="O412" s="12" t="s">
        <v>772</v>
      </c>
      <c r="P412" s="12" t="s">
        <v>773</v>
      </c>
      <c r="Q412" s="12" t="s">
        <v>774</v>
      </c>
      <c r="R412" s="12" t="s">
        <v>775</v>
      </c>
      <c r="S412" s="12" t="s">
        <v>181</v>
      </c>
      <c r="T412" s="12" t="s">
        <v>776</v>
      </c>
      <c r="U412" s="12" t="s">
        <v>777</v>
      </c>
      <c r="V412" s="12" t="s">
        <v>778</v>
      </c>
      <c r="W412" s="12" t="s">
        <v>779</v>
      </c>
      <c r="X412" s="12" t="s">
        <v>780</v>
      </c>
      <c r="Y412" s="12" t="s">
        <v>781</v>
      </c>
      <c r="AA412" s="12" t="s">
        <v>782</v>
      </c>
      <c r="AB412" s="12" t="s">
        <v>783</v>
      </c>
      <c r="AC412" s="12" t="s">
        <v>784</v>
      </c>
      <c r="AD412" s="12" t="s">
        <v>785</v>
      </c>
      <c r="AF412" s="12" t="s">
        <v>786</v>
      </c>
      <c r="AG412" s="12" t="s">
        <v>787</v>
      </c>
      <c r="AH412" s="12" t="s">
        <v>788</v>
      </c>
      <c r="AJ412" s="12" t="s">
        <v>789</v>
      </c>
      <c r="AK412" s="12" t="s">
        <v>790</v>
      </c>
      <c r="AL412" s="12" t="s">
        <v>791</v>
      </c>
      <c r="AM412" s="12" t="s">
        <v>792</v>
      </c>
      <c r="AO412" s="12" t="s">
        <v>793</v>
      </c>
      <c r="AP412" s="12" t="s">
        <v>794</v>
      </c>
      <c r="AQ412" s="12" t="s">
        <v>795</v>
      </c>
      <c r="AS412" s="12" t="s">
        <v>796</v>
      </c>
      <c r="AT412" s="12" t="s">
        <v>797</v>
      </c>
      <c r="AU412" s="12" t="s">
        <v>3444</v>
      </c>
      <c r="AV412" s="12" t="s">
        <v>799</v>
      </c>
      <c r="AW412" s="12" t="s">
        <v>800</v>
      </c>
      <c r="AX412" s="12" t="str">
        <f>AX2</f>
        <v>Priest of Community</v>
      </c>
      <c r="AY412" s="12" t="s">
        <v>802</v>
      </c>
      <c r="AZ412" s="12" t="str">
        <f t="shared" ref="AZ412:CQ412" si="196">AZ2</f>
        <v>Priest of Crafts</v>
      </c>
      <c r="BA412" s="12" t="str">
        <f t="shared" si="196"/>
        <v>Priest of Culture</v>
      </c>
      <c r="BB412" s="12" t="str">
        <f t="shared" si="196"/>
        <v>Priest of Darkness, Night</v>
      </c>
      <c r="BC412" s="12" t="str">
        <f t="shared" si="196"/>
        <v>Priest of Dawn</v>
      </c>
      <c r="BD412" s="12" t="str">
        <f t="shared" si="196"/>
        <v>Priest of Death</v>
      </c>
      <c r="BE412" s="12" t="str">
        <f t="shared" si="196"/>
        <v>Priest of Disease</v>
      </c>
      <c r="BF412" s="12" t="str">
        <f t="shared" si="196"/>
        <v>Priest of Earth</v>
      </c>
      <c r="BG412" s="12" t="str">
        <f t="shared" si="196"/>
        <v>Priest of Fate, Destiny</v>
      </c>
      <c r="BH412" s="12" t="str">
        <f t="shared" si="196"/>
        <v>Priest of Fertility</v>
      </c>
      <c r="BI412" s="12" t="str">
        <f t="shared" si="196"/>
        <v>Priest of Fire</v>
      </c>
      <c r="BJ412" s="12" t="str">
        <f t="shared" si="196"/>
        <v>Priest of Fortune, Luck</v>
      </c>
      <c r="BK412" s="12" t="str">
        <f t="shared" si="196"/>
        <v>Priest of Guardianship</v>
      </c>
      <c r="BL412" s="12" t="str">
        <f t="shared" si="196"/>
        <v>Priest of Healing</v>
      </c>
      <c r="BM412" s="12" t="str">
        <f t="shared" si="196"/>
        <v>Priest of Hunting</v>
      </c>
      <c r="BN412" s="12" t="str">
        <f t="shared" si="196"/>
        <v>Priest of Justice, Revenge</v>
      </c>
      <c r="BO412" s="12" t="str">
        <f t="shared" si="196"/>
        <v>Priest of Light</v>
      </c>
      <c r="BP412" s="12" t="str">
        <f t="shared" si="196"/>
        <v>Priest of Lightning</v>
      </c>
      <c r="BQ412" s="12" t="str">
        <f t="shared" si="196"/>
        <v>Priest of Literature</v>
      </c>
      <c r="BR412" s="12" t="str">
        <f t="shared" si="196"/>
        <v>Priest of Love</v>
      </c>
      <c r="BS412" s="12" t="str">
        <f t="shared" si="196"/>
        <v>Priest of Magic</v>
      </c>
      <c r="BT412" s="12" t="str">
        <f t="shared" si="196"/>
        <v>Priest of Marriage</v>
      </c>
      <c r="BU412" s="12" t="str">
        <f t="shared" si="196"/>
        <v>Priest of Messengers</v>
      </c>
      <c r="BV412" s="12" t="str">
        <f t="shared" si="196"/>
        <v>Priest of Metalwork</v>
      </c>
      <c r="BW412" s="12" t="str">
        <f t="shared" si="196"/>
        <v>Priest of Mischief/Trickery</v>
      </c>
      <c r="BX412" s="12" t="str">
        <f t="shared" si="196"/>
        <v>Priest of Moon</v>
      </c>
      <c r="BY412" s="12" t="str">
        <f t="shared" si="196"/>
        <v>Priest of Music, Dance</v>
      </c>
      <c r="BZ412" s="12" t="str">
        <f t="shared" si="196"/>
        <v>Priest of Nature</v>
      </c>
      <c r="CA412" s="12" t="str">
        <f t="shared" si="196"/>
        <v>Priest of Ocean, Rivers</v>
      </c>
      <c r="CB412" s="12" t="str">
        <f t="shared" si="196"/>
        <v>Priest of Oracles</v>
      </c>
      <c r="CC412" s="12" t="str">
        <f t="shared" si="196"/>
        <v>Priest of Peace</v>
      </c>
      <c r="CD412" s="12" t="str">
        <f t="shared" si="196"/>
        <v>Priest of Prosperity</v>
      </c>
      <c r="CE412" s="12" t="str">
        <f t="shared" si="196"/>
        <v>Priest of Redemption</v>
      </c>
      <c r="CF412" s="12" t="str">
        <f t="shared" si="196"/>
        <v>Priest of Rulership</v>
      </c>
      <c r="CG412" s="12" t="str">
        <f t="shared" si="196"/>
        <v>Priest of Seasons</v>
      </c>
      <c r="CH412" s="12" t="str">
        <f t="shared" si="196"/>
        <v>Priest of Sky, Weather</v>
      </c>
      <c r="CI412" s="12" t="str">
        <f t="shared" si="196"/>
        <v>Priest of Strength</v>
      </c>
      <c r="CJ412" s="12" t="str">
        <f t="shared" si="196"/>
        <v>Priest of Sun</v>
      </c>
      <c r="CK412" s="12" t="str">
        <f t="shared" si="196"/>
        <v>Priest of Thunder</v>
      </c>
      <c r="CL412" s="12" t="str">
        <f t="shared" si="196"/>
        <v>Priest of Time</v>
      </c>
      <c r="CN412" s="12" t="str">
        <f t="shared" si="196"/>
        <v>Priest of Vegetation</v>
      </c>
      <c r="CO412" s="12" t="str">
        <f t="shared" si="196"/>
        <v>Priest of War</v>
      </c>
      <c r="CP412" s="12" t="str">
        <f t="shared" si="196"/>
        <v>Priest of Wind</v>
      </c>
      <c r="CQ412" s="12" t="str">
        <f t="shared" si="196"/>
        <v>Priest of Wisdom</v>
      </c>
      <c r="CS412" s="12" t="str">
        <f>CS163</f>
        <v>Barbarian (FRP)</v>
      </c>
      <c r="CT412" s="12" t="str">
        <f>CT163</f>
        <v>Outrider (FRP)</v>
      </c>
      <c r="CU412" s="12" t="str">
        <f>CU163</f>
        <v>Sage (FRP)</v>
      </c>
      <c r="CV412" s="12" t="str">
        <f>CV163</f>
        <v>Swashbuckler (FRP)</v>
      </c>
      <c r="CX412" s="12" t="s">
        <v>851</v>
      </c>
      <c r="CY412" s="12" t="s">
        <v>852</v>
      </c>
      <c r="CZ412" s="12" t="s">
        <v>853</v>
      </c>
      <c r="DA412" s="12" t="s">
        <v>1129</v>
      </c>
      <c r="DB412" s="12" t="s">
        <v>855</v>
      </c>
      <c r="DC412" s="12" t="s">
        <v>856</v>
      </c>
      <c r="DD412" s="12" t="s">
        <v>857</v>
      </c>
      <c r="DE412" s="12" t="s">
        <v>858</v>
      </c>
      <c r="DF412" s="12">
        <v>1</v>
      </c>
    </row>
    <row r="413" spans="1:110" ht="13.35" customHeight="1" x14ac:dyDescent="0.2">
      <c r="A413" s="12">
        <v>18.001000000000001</v>
      </c>
      <c r="B413" s="12">
        <v>-144</v>
      </c>
      <c r="E413" s="20" t="s">
        <v>736</v>
      </c>
      <c r="F413" s="28" t="s">
        <v>3445</v>
      </c>
      <c r="G413" s="28" t="s">
        <v>3445</v>
      </c>
      <c r="H413" s="28" t="s">
        <v>3445</v>
      </c>
      <c r="I413" s="28" t="s">
        <v>3445</v>
      </c>
      <c r="J413" s="28" t="s">
        <v>3445</v>
      </c>
      <c r="K413" s="28" t="s">
        <v>1083</v>
      </c>
      <c r="L413" s="28" t="s">
        <v>1083</v>
      </c>
      <c r="M413" s="28" t="s">
        <v>1083</v>
      </c>
      <c r="N413" s="28" t="s">
        <v>1083</v>
      </c>
      <c r="O413" s="28" t="s">
        <v>1083</v>
      </c>
      <c r="P413" s="28" t="s">
        <v>1083</v>
      </c>
      <c r="Q413" s="28" t="s">
        <v>1083</v>
      </c>
      <c r="R413" s="28" t="s">
        <v>1083</v>
      </c>
      <c r="S413" s="28" t="s">
        <v>1083</v>
      </c>
      <c r="T413" s="28" t="s">
        <v>3446</v>
      </c>
      <c r="U413" s="28" t="s">
        <v>3446</v>
      </c>
      <c r="V413" s="28" t="s">
        <v>3446</v>
      </c>
      <c r="W413" s="28" t="s">
        <v>3446</v>
      </c>
      <c r="X413" s="28" t="s">
        <v>3446</v>
      </c>
      <c r="Y413" s="28" t="s">
        <v>3446</v>
      </c>
      <c r="Z413" s="28"/>
      <c r="AA413" s="28" t="s">
        <v>1083</v>
      </c>
      <c r="AB413" s="28" t="s">
        <v>1083</v>
      </c>
      <c r="AC413" s="28" t="s">
        <v>3446</v>
      </c>
      <c r="AD413" s="28" t="s">
        <v>3446</v>
      </c>
      <c r="AE413" s="28"/>
      <c r="AF413" s="28" t="s">
        <v>1083</v>
      </c>
      <c r="AG413" s="28" t="s">
        <v>1083</v>
      </c>
      <c r="AH413" s="28" t="s">
        <v>3446</v>
      </c>
      <c r="AI413" s="28"/>
      <c r="AJ413" s="28" t="s">
        <v>3446</v>
      </c>
      <c r="AK413" s="28" t="s">
        <v>1083</v>
      </c>
      <c r="AL413" s="28" t="s">
        <v>1083</v>
      </c>
      <c r="AM413" s="28" t="s">
        <v>1083</v>
      </c>
      <c r="AN413" s="28"/>
      <c r="AO413" s="28" t="s">
        <v>1083</v>
      </c>
      <c r="AP413" s="28" t="s">
        <v>1083</v>
      </c>
      <c r="AQ413" s="28" t="s">
        <v>3446</v>
      </c>
      <c r="AR413" s="28"/>
      <c r="AS413" s="28" t="s">
        <v>1083</v>
      </c>
      <c r="AT413" s="28" t="s">
        <v>1083</v>
      </c>
      <c r="AU413" s="28" t="s">
        <v>1083</v>
      </c>
      <c r="AV413" s="28" t="s">
        <v>1083</v>
      </c>
      <c r="AW413" s="28" t="s">
        <v>1083</v>
      </c>
      <c r="AX413" s="28" t="s">
        <v>1083</v>
      </c>
      <c r="AY413" s="28" t="s">
        <v>1083</v>
      </c>
      <c r="AZ413" s="28" t="s">
        <v>1083</v>
      </c>
      <c r="BA413" s="28" t="s">
        <v>1083</v>
      </c>
      <c r="BB413" s="28" t="s">
        <v>1083</v>
      </c>
      <c r="BC413" s="28" t="s">
        <v>1083</v>
      </c>
      <c r="BD413" s="28" t="s">
        <v>1083</v>
      </c>
      <c r="BE413" s="28" t="s">
        <v>1083</v>
      </c>
      <c r="BF413" s="28" t="s">
        <v>1083</v>
      </c>
      <c r="BG413" s="28" t="s">
        <v>1083</v>
      </c>
      <c r="BH413" s="28" t="s">
        <v>1083</v>
      </c>
      <c r="BI413" s="28" t="s">
        <v>1083</v>
      </c>
      <c r="BJ413" s="28" t="s">
        <v>1083</v>
      </c>
      <c r="BK413" s="28" t="s">
        <v>1083</v>
      </c>
      <c r="BL413" s="28" t="s">
        <v>1083</v>
      </c>
      <c r="BM413" s="28" t="s">
        <v>1083</v>
      </c>
      <c r="BN413" s="28" t="s">
        <v>1083</v>
      </c>
      <c r="BO413" s="28" t="s">
        <v>1083</v>
      </c>
      <c r="BP413" s="28" t="s">
        <v>1083</v>
      </c>
      <c r="BQ413" s="28" t="s">
        <v>1083</v>
      </c>
      <c r="BR413" s="28" t="s">
        <v>1083</v>
      </c>
      <c r="BS413" s="28" t="s">
        <v>1083</v>
      </c>
      <c r="BT413" s="28" t="s">
        <v>1083</v>
      </c>
      <c r="BU413" s="28" t="s">
        <v>1083</v>
      </c>
      <c r="BV413" s="28" t="s">
        <v>1083</v>
      </c>
      <c r="BW413" s="28" t="s">
        <v>1083</v>
      </c>
      <c r="BX413" s="28" t="s">
        <v>1083</v>
      </c>
      <c r="BY413" s="28" t="s">
        <v>1083</v>
      </c>
      <c r="BZ413" s="28" t="s">
        <v>1083</v>
      </c>
      <c r="CA413" s="28" t="s">
        <v>1083</v>
      </c>
      <c r="CB413" s="28" t="s">
        <v>1083</v>
      </c>
      <c r="CC413" s="28" t="s">
        <v>1083</v>
      </c>
      <c r="CD413" s="28" t="s">
        <v>1083</v>
      </c>
      <c r="CE413" s="28" t="s">
        <v>1083</v>
      </c>
      <c r="CF413" s="28" t="s">
        <v>1083</v>
      </c>
      <c r="CG413" s="28" t="s">
        <v>1083</v>
      </c>
      <c r="CH413" s="28" t="s">
        <v>1083</v>
      </c>
      <c r="CI413" s="28" t="s">
        <v>1083</v>
      </c>
      <c r="CJ413" s="28" t="s">
        <v>1083</v>
      </c>
      <c r="CK413" s="28" t="s">
        <v>1083</v>
      </c>
      <c r="CL413" s="28" t="s">
        <v>1083</v>
      </c>
      <c r="CM413" s="28"/>
      <c r="CN413" s="28" t="s">
        <v>1083</v>
      </c>
      <c r="CO413" s="28" t="s">
        <v>1083</v>
      </c>
      <c r="CP413" s="28" t="s">
        <v>1083</v>
      </c>
      <c r="CQ413" s="28" t="s">
        <v>1083</v>
      </c>
      <c r="CR413" s="28"/>
      <c r="CS413" s="28" t="s">
        <v>3445</v>
      </c>
      <c r="CT413" s="28" t="s">
        <v>3445</v>
      </c>
      <c r="CU413" s="28" t="s">
        <v>3445</v>
      </c>
      <c r="CV413" s="28" t="s">
        <v>3445</v>
      </c>
      <c r="CW413" s="28"/>
      <c r="CX413" s="28" t="s">
        <v>3445</v>
      </c>
      <c r="CY413" s="28" t="s">
        <v>1083</v>
      </c>
      <c r="CZ413" s="28" t="s">
        <v>1083</v>
      </c>
      <c r="DA413" s="28" t="s">
        <v>3445</v>
      </c>
      <c r="DB413" s="28" t="s">
        <v>1083</v>
      </c>
      <c r="DC413" s="28" t="s">
        <v>1083</v>
      </c>
      <c r="DD413" s="28" t="s">
        <v>1083</v>
      </c>
      <c r="DF413" s="12">
        <v>2</v>
      </c>
    </row>
    <row r="414" spans="1:110" ht="13.35" customHeight="1" x14ac:dyDescent="0.2">
      <c r="A414" s="12">
        <v>19.001000000000001</v>
      </c>
      <c r="B414" s="12">
        <v>-152</v>
      </c>
      <c r="E414" s="20" t="s">
        <v>3447</v>
      </c>
      <c r="F414" s="28" t="s">
        <v>3448</v>
      </c>
      <c r="G414" s="28" t="s">
        <v>3448</v>
      </c>
      <c r="H414" s="28" t="s">
        <v>3448</v>
      </c>
      <c r="I414" s="28" t="s">
        <v>3448</v>
      </c>
      <c r="J414" s="28" t="s">
        <v>3448</v>
      </c>
      <c r="K414" s="28" t="s">
        <v>1084</v>
      </c>
      <c r="L414" s="28" t="s">
        <v>1084</v>
      </c>
      <c r="M414" s="28" t="s">
        <v>1084</v>
      </c>
      <c r="N414" s="28" t="s">
        <v>1084</v>
      </c>
      <c r="O414" s="28" t="s">
        <v>1084</v>
      </c>
      <c r="P414" s="28" t="s">
        <v>1084</v>
      </c>
      <c r="Q414" s="28" t="s">
        <v>1084</v>
      </c>
      <c r="R414" s="28" t="s">
        <v>1084</v>
      </c>
      <c r="S414" s="28" t="s">
        <v>1084</v>
      </c>
      <c r="T414" s="28" t="s">
        <v>3449</v>
      </c>
      <c r="U414" s="28" t="s">
        <v>3449</v>
      </c>
      <c r="V414" s="28" t="s">
        <v>3449</v>
      </c>
      <c r="W414" s="28" t="s">
        <v>3449</v>
      </c>
      <c r="X414" s="28" t="s">
        <v>3449</v>
      </c>
      <c r="Y414" s="28" t="s">
        <v>3449</v>
      </c>
      <c r="Z414" s="28"/>
      <c r="AA414" s="28" t="s">
        <v>3450</v>
      </c>
      <c r="AB414" s="28" t="s">
        <v>3450</v>
      </c>
      <c r="AC414" s="28" t="s">
        <v>3449</v>
      </c>
      <c r="AD414" s="28" t="s">
        <v>3449</v>
      </c>
      <c r="AE414" s="28"/>
      <c r="AF414" s="28" t="s">
        <v>1084</v>
      </c>
      <c r="AG414" s="28" t="s">
        <v>1084</v>
      </c>
      <c r="AH414" s="28" t="s">
        <v>3449</v>
      </c>
      <c r="AI414" s="28"/>
      <c r="AJ414" s="28" t="s">
        <v>3449</v>
      </c>
      <c r="AK414" s="28" t="s">
        <v>1084</v>
      </c>
      <c r="AL414" s="28" t="s">
        <v>1084</v>
      </c>
      <c r="AM414" s="28" t="s">
        <v>1084</v>
      </c>
      <c r="AN414" s="28"/>
      <c r="AO414" s="28" t="s">
        <v>1084</v>
      </c>
      <c r="AP414" s="28" t="s">
        <v>1084</v>
      </c>
      <c r="AQ414" s="28" t="s">
        <v>3449</v>
      </c>
      <c r="AR414" s="28"/>
      <c r="AS414" s="28" t="s">
        <v>1084</v>
      </c>
      <c r="AT414" s="28" t="s">
        <v>1084</v>
      </c>
      <c r="AU414" s="28" t="s">
        <v>1084</v>
      </c>
      <c r="AV414" s="28" t="s">
        <v>1084</v>
      </c>
      <c r="AW414" s="28" t="s">
        <v>1084</v>
      </c>
      <c r="AX414" s="28" t="s">
        <v>1084</v>
      </c>
      <c r="AY414" s="28" t="s">
        <v>1084</v>
      </c>
      <c r="AZ414" s="28" t="s">
        <v>1084</v>
      </c>
      <c r="BA414" s="28" t="s">
        <v>1084</v>
      </c>
      <c r="BB414" s="28" t="s">
        <v>1084</v>
      </c>
      <c r="BC414" s="28" t="s">
        <v>1084</v>
      </c>
      <c r="BD414" s="28" t="s">
        <v>1084</v>
      </c>
      <c r="BE414" s="28" t="s">
        <v>1084</v>
      </c>
      <c r="BF414" s="28" t="s">
        <v>1084</v>
      </c>
      <c r="BG414" s="28" t="s">
        <v>1084</v>
      </c>
      <c r="BH414" s="28" t="s">
        <v>1084</v>
      </c>
      <c r="BI414" s="28" t="s">
        <v>1084</v>
      </c>
      <c r="BJ414" s="28" t="s">
        <v>1084</v>
      </c>
      <c r="BK414" s="28" t="s">
        <v>1084</v>
      </c>
      <c r="BL414" s="28" t="s">
        <v>1084</v>
      </c>
      <c r="BM414" s="28" t="s">
        <v>1084</v>
      </c>
      <c r="BN414" s="28" t="s">
        <v>1084</v>
      </c>
      <c r="BO414" s="28" t="s">
        <v>1084</v>
      </c>
      <c r="BP414" s="28" t="s">
        <v>1084</v>
      </c>
      <c r="BQ414" s="28" t="s">
        <v>1084</v>
      </c>
      <c r="BR414" s="28" t="s">
        <v>1084</v>
      </c>
      <c r="BS414" s="28" t="s">
        <v>1084</v>
      </c>
      <c r="BT414" s="28" t="s">
        <v>1084</v>
      </c>
      <c r="BU414" s="28" t="s">
        <v>1084</v>
      </c>
      <c r="BV414" s="28" t="s">
        <v>1084</v>
      </c>
      <c r="BW414" s="28" t="s">
        <v>1084</v>
      </c>
      <c r="BX414" s="28" t="s">
        <v>1084</v>
      </c>
      <c r="BY414" s="28" t="s">
        <v>1084</v>
      </c>
      <c r="BZ414" s="28" t="s">
        <v>1084</v>
      </c>
      <c r="CA414" s="28" t="s">
        <v>1084</v>
      </c>
      <c r="CB414" s="28" t="s">
        <v>1084</v>
      </c>
      <c r="CC414" s="28" t="s">
        <v>1084</v>
      </c>
      <c r="CD414" s="28" t="s">
        <v>1084</v>
      </c>
      <c r="CE414" s="28" t="s">
        <v>1084</v>
      </c>
      <c r="CF414" s="28" t="s">
        <v>1084</v>
      </c>
      <c r="CG414" s="28" t="s">
        <v>1084</v>
      </c>
      <c r="CH414" s="28" t="s">
        <v>1084</v>
      </c>
      <c r="CI414" s="28" t="s">
        <v>1084</v>
      </c>
      <c r="CJ414" s="28" t="s">
        <v>1084</v>
      </c>
      <c r="CK414" s="28" t="s">
        <v>1084</v>
      </c>
      <c r="CL414" s="28" t="s">
        <v>1084</v>
      </c>
      <c r="CM414" s="28"/>
      <c r="CN414" s="28" t="s">
        <v>1084</v>
      </c>
      <c r="CO414" s="28" t="s">
        <v>1084</v>
      </c>
      <c r="CP414" s="28" t="s">
        <v>1084</v>
      </c>
      <c r="CQ414" s="28" t="s">
        <v>1084</v>
      </c>
      <c r="CR414" s="28"/>
      <c r="CS414" s="28" t="s">
        <v>3451</v>
      </c>
      <c r="CT414" s="28" t="s">
        <v>3451</v>
      </c>
      <c r="CU414" s="28" t="s">
        <v>3451</v>
      </c>
      <c r="CV414" s="28" t="s">
        <v>3451</v>
      </c>
      <c r="CW414" s="28"/>
      <c r="CX414" s="28" t="s">
        <v>3451</v>
      </c>
      <c r="CY414" s="28" t="s">
        <v>1084</v>
      </c>
      <c r="CZ414" s="28" t="s">
        <v>1084</v>
      </c>
      <c r="DA414" s="28" t="s">
        <v>3448</v>
      </c>
      <c r="DB414" s="28" t="s">
        <v>1084</v>
      </c>
      <c r="DC414" s="28" t="s">
        <v>1084</v>
      </c>
      <c r="DD414" s="28" t="s">
        <v>1084</v>
      </c>
      <c r="DF414" s="12">
        <v>3</v>
      </c>
    </row>
    <row r="415" spans="1:110" ht="13.35" customHeight="1" x14ac:dyDescent="0.2">
      <c r="A415" s="12">
        <v>20.001000000000001</v>
      </c>
      <c r="B415" s="12">
        <v>-160</v>
      </c>
      <c r="E415" s="20" t="s">
        <v>3452</v>
      </c>
      <c r="F415" s="28" t="s">
        <v>1055</v>
      </c>
      <c r="G415" s="28" t="s">
        <v>1055</v>
      </c>
      <c r="H415" s="28" t="s">
        <v>1055</v>
      </c>
      <c r="I415" s="28" t="s">
        <v>1055</v>
      </c>
      <c r="J415" s="28" t="s">
        <v>1055</v>
      </c>
      <c r="K415" s="28" t="s">
        <v>1055</v>
      </c>
      <c r="L415" s="28" t="s">
        <v>1055</v>
      </c>
      <c r="M415" s="28" t="s">
        <v>1055</v>
      </c>
      <c r="N415" s="28" t="s">
        <v>1055</v>
      </c>
      <c r="O415" s="28" t="s">
        <v>1055</v>
      </c>
      <c r="P415" s="28" t="s">
        <v>1055</v>
      </c>
      <c r="Q415" s="28" t="s">
        <v>3453</v>
      </c>
      <c r="R415" s="28" t="s">
        <v>3453</v>
      </c>
      <c r="S415" s="28" t="s">
        <v>3453</v>
      </c>
      <c r="T415" s="28" t="s">
        <v>1055</v>
      </c>
      <c r="U415" s="28" t="s">
        <v>1055</v>
      </c>
      <c r="V415" s="28" t="s">
        <v>1055</v>
      </c>
      <c r="W415" s="28" t="s">
        <v>1055</v>
      </c>
      <c r="X415" s="28" t="s">
        <v>1055</v>
      </c>
      <c r="Y415" s="28" t="s">
        <v>1055</v>
      </c>
      <c r="Z415" s="28"/>
      <c r="AA415" s="28" t="s">
        <v>910</v>
      </c>
      <c r="AB415" s="28" t="s">
        <v>910</v>
      </c>
      <c r="AC415" s="28" t="s">
        <v>915</v>
      </c>
      <c r="AD415" s="28" t="s">
        <v>915</v>
      </c>
      <c r="AE415" s="28"/>
      <c r="AF415" s="28" t="s">
        <v>3453</v>
      </c>
      <c r="AG415" s="28" t="s">
        <v>1055</v>
      </c>
      <c r="AH415" s="28" t="s">
        <v>1055</v>
      </c>
      <c r="AI415" s="28"/>
      <c r="AJ415" s="28" t="s">
        <v>1055</v>
      </c>
      <c r="AK415" s="28" t="s">
        <v>3453</v>
      </c>
      <c r="AL415" s="28" t="s">
        <v>1055</v>
      </c>
      <c r="AM415" s="28" t="s">
        <v>3453</v>
      </c>
      <c r="AN415" s="28"/>
      <c r="AO415" s="28" t="s">
        <v>3453</v>
      </c>
      <c r="AP415" s="28" t="s">
        <v>3453</v>
      </c>
      <c r="AQ415" s="28" t="s">
        <v>1055</v>
      </c>
      <c r="AR415" s="28"/>
      <c r="AS415" s="28" t="s">
        <v>1055</v>
      </c>
      <c r="AT415" s="28" t="s">
        <v>1055</v>
      </c>
      <c r="AU415" s="28" t="s">
        <v>1055</v>
      </c>
      <c r="AV415" s="28" t="s">
        <v>1055</v>
      </c>
      <c r="AW415" s="28" t="s">
        <v>1055</v>
      </c>
      <c r="AX415" s="28" t="s">
        <v>1055</v>
      </c>
      <c r="AY415" s="28" t="s">
        <v>1055</v>
      </c>
      <c r="AZ415" s="28" t="s">
        <v>1055</v>
      </c>
      <c r="BA415" s="28" t="s">
        <v>1055</v>
      </c>
      <c r="BB415" s="28" t="s">
        <v>1055</v>
      </c>
      <c r="BC415" s="28" t="s">
        <v>1055</v>
      </c>
      <c r="BD415" s="28" t="s">
        <v>1055</v>
      </c>
      <c r="BE415" s="28" t="s">
        <v>1055</v>
      </c>
      <c r="BF415" s="28" t="s">
        <v>1055</v>
      </c>
      <c r="BG415" s="28" t="s">
        <v>1055</v>
      </c>
      <c r="BH415" s="28" t="s">
        <v>1055</v>
      </c>
      <c r="BI415" s="28" t="s">
        <v>1055</v>
      </c>
      <c r="BJ415" s="28" t="s">
        <v>1055</v>
      </c>
      <c r="BK415" s="28" t="s">
        <v>1055</v>
      </c>
      <c r="BL415" s="28" t="s">
        <v>1055</v>
      </c>
      <c r="BM415" s="28" t="s">
        <v>1055</v>
      </c>
      <c r="BN415" s="28" t="s">
        <v>1055</v>
      </c>
      <c r="BO415" s="28" t="s">
        <v>1055</v>
      </c>
      <c r="BP415" s="28" t="s">
        <v>1055</v>
      </c>
      <c r="BQ415" s="28" t="s">
        <v>1055</v>
      </c>
      <c r="BR415" s="28" t="s">
        <v>1055</v>
      </c>
      <c r="BS415" s="28" t="s">
        <v>1055</v>
      </c>
      <c r="BT415" s="28" t="s">
        <v>1055</v>
      </c>
      <c r="BU415" s="28" t="s">
        <v>1055</v>
      </c>
      <c r="BV415" s="28" t="s">
        <v>1055</v>
      </c>
      <c r="BW415" s="28" t="s">
        <v>1055</v>
      </c>
      <c r="BX415" s="28" t="s">
        <v>1055</v>
      </c>
      <c r="BY415" s="28" t="s">
        <v>1055</v>
      </c>
      <c r="BZ415" s="28" t="s">
        <v>1055</v>
      </c>
      <c r="CA415" s="28" t="s">
        <v>1055</v>
      </c>
      <c r="CB415" s="28" t="s">
        <v>1055</v>
      </c>
      <c r="CC415" s="28" t="s">
        <v>1055</v>
      </c>
      <c r="CD415" s="28" t="s">
        <v>1055</v>
      </c>
      <c r="CE415" s="28" t="s">
        <v>1055</v>
      </c>
      <c r="CF415" s="28" t="s">
        <v>1055</v>
      </c>
      <c r="CG415" s="28" t="s">
        <v>1055</v>
      </c>
      <c r="CH415" s="28" t="s">
        <v>1055</v>
      </c>
      <c r="CI415" s="28" t="s">
        <v>1055</v>
      </c>
      <c r="CJ415" s="28" t="s">
        <v>1055</v>
      </c>
      <c r="CK415" s="28" t="s">
        <v>1055</v>
      </c>
      <c r="CL415" s="28" t="s">
        <v>1055</v>
      </c>
      <c r="CM415" s="28"/>
      <c r="CN415" s="28" t="s">
        <v>1055</v>
      </c>
      <c r="CO415" s="28" t="s">
        <v>1055</v>
      </c>
      <c r="CP415" s="28" t="s">
        <v>1055</v>
      </c>
      <c r="CQ415" s="28" t="s">
        <v>1055</v>
      </c>
      <c r="CR415" s="28"/>
      <c r="CS415" s="28" t="s">
        <v>1055</v>
      </c>
      <c r="CT415" s="28" t="s">
        <v>1055</v>
      </c>
      <c r="CU415" s="28" t="s">
        <v>1055</v>
      </c>
      <c r="CV415" s="28" t="s">
        <v>1055</v>
      </c>
      <c r="CW415" s="28"/>
      <c r="CX415" s="28" t="s">
        <v>1055</v>
      </c>
      <c r="CY415" s="28" t="s">
        <v>3453</v>
      </c>
      <c r="CZ415" s="28" t="s">
        <v>3453</v>
      </c>
      <c r="DA415" s="28" t="s">
        <v>1055</v>
      </c>
      <c r="DB415" s="28" t="s">
        <v>1055</v>
      </c>
      <c r="DC415" s="28" t="s">
        <v>1055</v>
      </c>
      <c r="DD415" s="28" t="s">
        <v>1055</v>
      </c>
      <c r="DF415" s="12">
        <v>4</v>
      </c>
    </row>
    <row r="416" spans="1:110" ht="13.35" customHeight="1" x14ac:dyDescent="0.2">
      <c r="A416" s="12">
        <v>21.001000000000001</v>
      </c>
      <c r="B416" s="12">
        <v>-168</v>
      </c>
      <c r="E416" s="20" t="s">
        <v>739</v>
      </c>
      <c r="F416" s="28" t="s">
        <v>1059</v>
      </c>
      <c r="G416" s="28" t="s">
        <v>3454</v>
      </c>
      <c r="H416" s="28" t="s">
        <v>1060</v>
      </c>
      <c r="I416" s="28" t="s">
        <v>3455</v>
      </c>
      <c r="J416" s="28" t="s">
        <v>3455</v>
      </c>
      <c r="K416" s="28" t="s">
        <v>1076</v>
      </c>
      <c r="L416" s="28" t="s">
        <v>1076</v>
      </c>
      <c r="M416" s="28" t="s">
        <v>1076</v>
      </c>
      <c r="N416" s="28" t="s">
        <v>1076</v>
      </c>
      <c r="O416" s="28" t="s">
        <v>1076</v>
      </c>
      <c r="P416" s="28" t="s">
        <v>1076</v>
      </c>
      <c r="Q416" s="28" t="s">
        <v>1069</v>
      </c>
      <c r="R416" s="28" t="s">
        <v>1069</v>
      </c>
      <c r="S416" s="28" t="s">
        <v>1069</v>
      </c>
      <c r="T416" s="28" t="s">
        <v>1067</v>
      </c>
      <c r="U416" s="28" t="s">
        <v>1067</v>
      </c>
      <c r="V416" s="28" t="s">
        <v>1067</v>
      </c>
      <c r="W416" s="28" t="s">
        <v>1067</v>
      </c>
      <c r="X416" s="28" t="s">
        <v>1067</v>
      </c>
      <c r="Y416" s="28" t="s">
        <v>1067</v>
      </c>
      <c r="Z416" s="28"/>
      <c r="AA416" s="28" t="s">
        <v>1087</v>
      </c>
      <c r="AB416" s="28" t="s">
        <v>1087</v>
      </c>
      <c r="AC416" s="28" t="s">
        <v>1050</v>
      </c>
      <c r="AD416" s="28" t="s">
        <v>1050</v>
      </c>
      <c r="AE416" s="28"/>
      <c r="AF416" s="28" t="s">
        <v>1069</v>
      </c>
      <c r="AG416" s="28" t="s">
        <v>1076</v>
      </c>
      <c r="AH416" s="28" t="s">
        <v>1067</v>
      </c>
      <c r="AI416" s="28"/>
      <c r="AJ416" s="28" t="s">
        <v>1067</v>
      </c>
      <c r="AK416" s="28" t="s">
        <v>1069</v>
      </c>
      <c r="AL416" s="28" t="s">
        <v>1076</v>
      </c>
      <c r="AM416" s="28" t="s">
        <v>1069</v>
      </c>
      <c r="AN416" s="28"/>
      <c r="AO416" s="28" t="s">
        <v>1069</v>
      </c>
      <c r="AP416" s="28" t="s">
        <v>1069</v>
      </c>
      <c r="AQ416" s="28" t="s">
        <v>1067</v>
      </c>
      <c r="AR416" s="28"/>
      <c r="AS416" s="28" t="s">
        <v>1076</v>
      </c>
      <c r="AT416" s="28" t="s">
        <v>1076</v>
      </c>
      <c r="AU416" s="28" t="s">
        <v>1076</v>
      </c>
      <c r="AV416" s="28" t="s">
        <v>1076</v>
      </c>
      <c r="AW416" s="28" t="s">
        <v>1076</v>
      </c>
      <c r="AX416" s="28" t="s">
        <v>1076</v>
      </c>
      <c r="AY416" s="28" t="s">
        <v>1076</v>
      </c>
      <c r="AZ416" s="28" t="s">
        <v>1076</v>
      </c>
      <c r="BA416" s="28" t="s">
        <v>1076</v>
      </c>
      <c r="BB416" s="28" t="s">
        <v>1076</v>
      </c>
      <c r="BC416" s="28" t="s">
        <v>1076</v>
      </c>
      <c r="BD416" s="28" t="s">
        <v>1076</v>
      </c>
      <c r="BE416" s="28" t="s">
        <v>1076</v>
      </c>
      <c r="BF416" s="28" t="s">
        <v>1076</v>
      </c>
      <c r="BG416" s="28" t="s">
        <v>1076</v>
      </c>
      <c r="BH416" s="28" t="s">
        <v>1076</v>
      </c>
      <c r="BI416" s="28" t="s">
        <v>1076</v>
      </c>
      <c r="BJ416" s="28" t="s">
        <v>1076</v>
      </c>
      <c r="BK416" s="28" t="s">
        <v>1076</v>
      </c>
      <c r="BL416" s="28" t="s">
        <v>1076</v>
      </c>
      <c r="BM416" s="28" t="s">
        <v>1076</v>
      </c>
      <c r="BN416" s="28" t="s">
        <v>1076</v>
      </c>
      <c r="BO416" s="28" t="s">
        <v>1076</v>
      </c>
      <c r="BP416" s="28" t="s">
        <v>1076</v>
      </c>
      <c r="BQ416" s="28" t="s">
        <v>1076</v>
      </c>
      <c r="BR416" s="28" t="s">
        <v>1076</v>
      </c>
      <c r="BS416" s="28" t="s">
        <v>1076</v>
      </c>
      <c r="BT416" s="28" t="s">
        <v>1076</v>
      </c>
      <c r="BU416" s="28" t="s">
        <v>1076</v>
      </c>
      <c r="BV416" s="28" t="s">
        <v>1076</v>
      </c>
      <c r="BW416" s="28" t="s">
        <v>1076</v>
      </c>
      <c r="BX416" s="28" t="s">
        <v>1076</v>
      </c>
      <c r="BY416" s="28" t="s">
        <v>1076</v>
      </c>
      <c r="BZ416" s="28" t="s">
        <v>1076</v>
      </c>
      <c r="CA416" s="28" t="s">
        <v>1076</v>
      </c>
      <c r="CB416" s="28" t="s">
        <v>1076</v>
      </c>
      <c r="CC416" s="28" t="s">
        <v>1076</v>
      </c>
      <c r="CD416" s="28" t="s">
        <v>1076</v>
      </c>
      <c r="CE416" s="28" t="s">
        <v>1076</v>
      </c>
      <c r="CF416" s="28" t="s">
        <v>1076</v>
      </c>
      <c r="CG416" s="28" t="s">
        <v>1076</v>
      </c>
      <c r="CH416" s="28" t="s">
        <v>1076</v>
      </c>
      <c r="CI416" s="28" t="s">
        <v>1076</v>
      </c>
      <c r="CJ416" s="28" t="s">
        <v>1076</v>
      </c>
      <c r="CK416" s="28" t="s">
        <v>1076</v>
      </c>
      <c r="CL416" s="28" t="s">
        <v>1076</v>
      </c>
      <c r="CM416" s="28"/>
      <c r="CN416" s="28" t="s">
        <v>1076</v>
      </c>
      <c r="CO416" s="28" t="s">
        <v>1076</v>
      </c>
      <c r="CP416" s="28" t="s">
        <v>1076</v>
      </c>
      <c r="CQ416" s="28" t="s">
        <v>1076</v>
      </c>
      <c r="CR416" s="28"/>
      <c r="CS416" s="28" t="s">
        <v>3455</v>
      </c>
      <c r="CT416" s="28" t="s">
        <v>1060</v>
      </c>
      <c r="CU416" s="28" t="s">
        <v>1059</v>
      </c>
      <c r="CV416" s="28" t="s">
        <v>1060</v>
      </c>
      <c r="CW416" s="28"/>
      <c r="CX416" s="28" t="s">
        <v>1067</v>
      </c>
      <c r="CY416" s="28" t="s">
        <v>1069</v>
      </c>
      <c r="CZ416" s="28" t="s">
        <v>1069</v>
      </c>
      <c r="DA416" s="28" t="s">
        <v>1088</v>
      </c>
      <c r="DB416" s="28" t="s">
        <v>1076</v>
      </c>
      <c r="DC416" s="28" t="s">
        <v>1076</v>
      </c>
      <c r="DD416" s="28" t="s">
        <v>1076</v>
      </c>
      <c r="DF416" s="12">
        <v>5</v>
      </c>
    </row>
    <row r="417" spans="1:110" ht="13.35" customHeight="1" x14ac:dyDescent="0.2">
      <c r="A417" s="12">
        <v>22.001000000000001</v>
      </c>
      <c r="B417" s="12">
        <v>-176</v>
      </c>
      <c r="E417" s="20" t="s">
        <v>741</v>
      </c>
      <c r="F417" s="28" t="s">
        <v>1070</v>
      </c>
      <c r="G417" s="28" t="s">
        <v>3456</v>
      </c>
      <c r="H417" s="28" t="s">
        <v>1075</v>
      </c>
      <c r="I417" s="28" t="s">
        <v>1076</v>
      </c>
      <c r="J417" s="28" t="s">
        <v>1081</v>
      </c>
      <c r="K417" s="28" t="s">
        <v>3457</v>
      </c>
      <c r="L417" s="28" t="s">
        <v>3457</v>
      </c>
      <c r="M417" s="28" t="s">
        <v>3457</v>
      </c>
      <c r="N417" s="28" t="s">
        <v>3457</v>
      </c>
      <c r="O417" s="28" t="s">
        <v>3457</v>
      </c>
      <c r="P417" s="28" t="s">
        <v>3457</v>
      </c>
      <c r="Q417" s="28" t="s">
        <v>3458</v>
      </c>
      <c r="R417" s="28" t="s">
        <v>3458</v>
      </c>
      <c r="S417" s="28" t="s">
        <v>3458</v>
      </c>
      <c r="T417" s="28" t="s">
        <v>1069</v>
      </c>
      <c r="U417" s="28" t="s">
        <v>1069</v>
      </c>
      <c r="V417" s="28" t="s">
        <v>1069</v>
      </c>
      <c r="W417" s="28" t="s">
        <v>1069</v>
      </c>
      <c r="X417" s="28" t="s">
        <v>1069</v>
      </c>
      <c r="Y417" s="28" t="s">
        <v>1069</v>
      </c>
      <c r="Z417" s="28"/>
      <c r="AA417" s="28" t="s">
        <v>909</v>
      </c>
      <c r="AB417" s="28" t="s">
        <v>909</v>
      </c>
      <c r="AC417" s="28" t="s">
        <v>3459</v>
      </c>
      <c r="AD417" s="28" t="s">
        <v>3459</v>
      </c>
      <c r="AE417" s="28"/>
      <c r="AF417" s="28" t="s">
        <v>3458</v>
      </c>
      <c r="AG417" s="28" t="s">
        <v>3457</v>
      </c>
      <c r="AH417" s="28" t="s">
        <v>1069</v>
      </c>
      <c r="AI417" s="28"/>
      <c r="AJ417" s="28" t="s">
        <v>1069</v>
      </c>
      <c r="AK417" s="28" t="s">
        <v>3458</v>
      </c>
      <c r="AL417" s="28" t="s">
        <v>3457</v>
      </c>
      <c r="AM417" s="28" t="s">
        <v>3458</v>
      </c>
      <c r="AN417" s="28"/>
      <c r="AO417" s="28" t="s">
        <v>3458</v>
      </c>
      <c r="AP417" s="28" t="s">
        <v>3458</v>
      </c>
      <c r="AQ417" s="28" t="s">
        <v>1069</v>
      </c>
      <c r="AR417" s="28"/>
      <c r="AS417" s="28" t="s">
        <v>3457</v>
      </c>
      <c r="AT417" s="28" t="s">
        <v>3457</v>
      </c>
      <c r="AU417" s="28" t="s">
        <v>3457</v>
      </c>
      <c r="AV417" s="28" t="s">
        <v>3457</v>
      </c>
      <c r="AW417" s="28" t="s">
        <v>3457</v>
      </c>
      <c r="AX417" s="28" t="s">
        <v>3457</v>
      </c>
      <c r="AY417" s="28" t="s">
        <v>3457</v>
      </c>
      <c r="AZ417" s="28" t="s">
        <v>3457</v>
      </c>
      <c r="BA417" s="28" t="s">
        <v>3457</v>
      </c>
      <c r="BB417" s="28" t="s">
        <v>3457</v>
      </c>
      <c r="BC417" s="28" t="s">
        <v>3457</v>
      </c>
      <c r="BD417" s="28" t="s">
        <v>3457</v>
      </c>
      <c r="BE417" s="28" t="s">
        <v>3457</v>
      </c>
      <c r="BF417" s="28" t="s">
        <v>3457</v>
      </c>
      <c r="BG417" s="28" t="s">
        <v>3457</v>
      </c>
      <c r="BH417" s="28" t="s">
        <v>3457</v>
      </c>
      <c r="BI417" s="28" t="s">
        <v>3457</v>
      </c>
      <c r="BJ417" s="28" t="s">
        <v>3457</v>
      </c>
      <c r="BK417" s="28" t="s">
        <v>3457</v>
      </c>
      <c r="BL417" s="28" t="s">
        <v>3457</v>
      </c>
      <c r="BM417" s="28" t="s">
        <v>3457</v>
      </c>
      <c r="BN417" s="28" t="s">
        <v>3457</v>
      </c>
      <c r="BO417" s="28" t="s">
        <v>3457</v>
      </c>
      <c r="BP417" s="28" t="s">
        <v>3457</v>
      </c>
      <c r="BQ417" s="28" t="s">
        <v>3457</v>
      </c>
      <c r="BR417" s="28" t="s">
        <v>3457</v>
      </c>
      <c r="BS417" s="28" t="s">
        <v>3457</v>
      </c>
      <c r="BT417" s="28" t="s">
        <v>3457</v>
      </c>
      <c r="BU417" s="28" t="s">
        <v>3457</v>
      </c>
      <c r="BV417" s="28" t="s">
        <v>3457</v>
      </c>
      <c r="BW417" s="28" t="s">
        <v>3457</v>
      </c>
      <c r="BX417" s="28" t="s">
        <v>3457</v>
      </c>
      <c r="BY417" s="28" t="s">
        <v>3457</v>
      </c>
      <c r="BZ417" s="28" t="s">
        <v>3457</v>
      </c>
      <c r="CA417" s="28" t="s">
        <v>3457</v>
      </c>
      <c r="CB417" s="28" t="s">
        <v>3457</v>
      </c>
      <c r="CC417" s="28" t="s">
        <v>3457</v>
      </c>
      <c r="CD417" s="28" t="s">
        <v>3457</v>
      </c>
      <c r="CE417" s="28" t="s">
        <v>3457</v>
      </c>
      <c r="CF417" s="28" t="s">
        <v>3457</v>
      </c>
      <c r="CG417" s="28" t="s">
        <v>3457</v>
      </c>
      <c r="CH417" s="28" t="s">
        <v>3457</v>
      </c>
      <c r="CI417" s="28" t="s">
        <v>3457</v>
      </c>
      <c r="CJ417" s="28" t="s">
        <v>3457</v>
      </c>
      <c r="CK417" s="28" t="s">
        <v>3457</v>
      </c>
      <c r="CL417" s="28" t="s">
        <v>3457</v>
      </c>
      <c r="CM417" s="28"/>
      <c r="CN417" s="28" t="s">
        <v>3457</v>
      </c>
      <c r="CO417" s="28" t="s">
        <v>3457</v>
      </c>
      <c r="CP417" s="28" t="s">
        <v>3457</v>
      </c>
      <c r="CQ417" s="28" t="s">
        <v>3457</v>
      </c>
      <c r="CR417" s="28"/>
      <c r="CS417" s="28" t="s">
        <v>1070</v>
      </c>
      <c r="CT417" s="28" t="s">
        <v>3456</v>
      </c>
      <c r="CU417" s="28" t="s">
        <v>1081</v>
      </c>
      <c r="CV417" s="28" t="s">
        <v>1075</v>
      </c>
      <c r="CW417" s="28"/>
      <c r="CX417" s="28" t="s">
        <v>1069</v>
      </c>
      <c r="CY417" s="28" t="s">
        <v>3458</v>
      </c>
      <c r="CZ417" s="28" t="s">
        <v>3458</v>
      </c>
      <c r="DA417" s="28" t="s">
        <v>1048</v>
      </c>
      <c r="DB417" s="28" t="s">
        <v>3457</v>
      </c>
      <c r="DC417" s="28" t="s">
        <v>3457</v>
      </c>
      <c r="DD417" s="28" t="s">
        <v>3457</v>
      </c>
      <c r="DF417" s="12">
        <v>6</v>
      </c>
    </row>
    <row r="418" spans="1:110" ht="13.35" customHeight="1" x14ac:dyDescent="0.2">
      <c r="A418" s="12">
        <v>23.001000000000001</v>
      </c>
      <c r="B418" s="12">
        <v>-184</v>
      </c>
      <c r="E418" s="20" t="s">
        <v>742</v>
      </c>
      <c r="F418" s="28" t="s">
        <v>1077</v>
      </c>
      <c r="G418" s="28" t="s">
        <v>1077</v>
      </c>
      <c r="H418" s="28" t="s">
        <v>1058</v>
      </c>
      <c r="I418" s="28" t="s">
        <v>1058</v>
      </c>
      <c r="J418" s="28" t="s">
        <v>3460</v>
      </c>
      <c r="K418" s="28" t="s">
        <v>1068</v>
      </c>
      <c r="L418" s="28" t="s">
        <v>1068</v>
      </c>
      <c r="M418" s="28" t="s">
        <v>1068</v>
      </c>
      <c r="N418" s="28" t="s">
        <v>1068</v>
      </c>
      <c r="O418" s="28" t="s">
        <v>1068</v>
      </c>
      <c r="P418" s="28" t="s">
        <v>1068</v>
      </c>
      <c r="Q418" s="28" t="s">
        <v>1084</v>
      </c>
      <c r="R418" s="28" t="s">
        <v>1084</v>
      </c>
      <c r="S418" s="28" t="s">
        <v>1084</v>
      </c>
      <c r="T418" s="28" t="s">
        <v>1080</v>
      </c>
      <c r="U418" s="28" t="s">
        <v>1080</v>
      </c>
      <c r="V418" s="28" t="s">
        <v>1080</v>
      </c>
      <c r="W418" s="28" t="s">
        <v>1080</v>
      </c>
      <c r="X418" s="28" t="s">
        <v>1080</v>
      </c>
      <c r="Y418" s="28" t="s">
        <v>1080</v>
      </c>
      <c r="Z418" s="28"/>
      <c r="AA418" s="28" t="s">
        <v>909</v>
      </c>
      <c r="AB418" s="28" t="s">
        <v>909</v>
      </c>
      <c r="AC418" s="28" t="s">
        <v>3448</v>
      </c>
      <c r="AD418" s="28" t="s">
        <v>3448</v>
      </c>
      <c r="AE418" s="28"/>
      <c r="AF418" s="28" t="s">
        <v>1084</v>
      </c>
      <c r="AG418" s="28" t="s">
        <v>1068</v>
      </c>
      <c r="AH418" s="28" t="s">
        <v>1080</v>
      </c>
      <c r="AI418" s="28"/>
      <c r="AJ418" s="28" t="s">
        <v>1080</v>
      </c>
      <c r="AK418" s="28" t="s">
        <v>1084</v>
      </c>
      <c r="AL418" s="28" t="s">
        <v>1068</v>
      </c>
      <c r="AM418" s="28" t="s">
        <v>1084</v>
      </c>
      <c r="AN418" s="28"/>
      <c r="AO418" s="28" t="s">
        <v>1084</v>
      </c>
      <c r="AP418" s="28" t="s">
        <v>1084</v>
      </c>
      <c r="AQ418" s="28" t="s">
        <v>1080</v>
      </c>
      <c r="AR418" s="28"/>
      <c r="AS418" s="28" t="s">
        <v>1068</v>
      </c>
      <c r="AT418" s="28" t="s">
        <v>1068</v>
      </c>
      <c r="AU418" s="28" t="s">
        <v>1068</v>
      </c>
      <c r="AV418" s="28" t="s">
        <v>1068</v>
      </c>
      <c r="AW418" s="28" t="s">
        <v>1068</v>
      </c>
      <c r="AX418" s="28" t="s">
        <v>1068</v>
      </c>
      <c r="AY418" s="28" t="s">
        <v>1068</v>
      </c>
      <c r="AZ418" s="28" t="s">
        <v>1068</v>
      </c>
      <c r="BA418" s="28" t="s">
        <v>1068</v>
      </c>
      <c r="BB418" s="28" t="s">
        <v>1068</v>
      </c>
      <c r="BC418" s="28" t="s">
        <v>1068</v>
      </c>
      <c r="BD418" s="28" t="s">
        <v>1068</v>
      </c>
      <c r="BE418" s="28" t="s">
        <v>1068</v>
      </c>
      <c r="BF418" s="28" t="s">
        <v>1068</v>
      </c>
      <c r="BG418" s="28" t="s">
        <v>1068</v>
      </c>
      <c r="BH418" s="28" t="s">
        <v>1068</v>
      </c>
      <c r="BI418" s="28" t="s">
        <v>1068</v>
      </c>
      <c r="BJ418" s="28" t="s">
        <v>1068</v>
      </c>
      <c r="BK418" s="28" t="s">
        <v>1068</v>
      </c>
      <c r="BL418" s="28" t="s">
        <v>1068</v>
      </c>
      <c r="BM418" s="28" t="s">
        <v>1068</v>
      </c>
      <c r="BN418" s="28" t="s">
        <v>1068</v>
      </c>
      <c r="BO418" s="28" t="s">
        <v>1068</v>
      </c>
      <c r="BP418" s="28" t="s">
        <v>1068</v>
      </c>
      <c r="BQ418" s="28" t="s">
        <v>1068</v>
      </c>
      <c r="BR418" s="28" t="s">
        <v>1068</v>
      </c>
      <c r="BS418" s="28" t="s">
        <v>1068</v>
      </c>
      <c r="BT418" s="28" t="s">
        <v>1068</v>
      </c>
      <c r="BU418" s="28" t="s">
        <v>1068</v>
      </c>
      <c r="BV418" s="28" t="s">
        <v>1068</v>
      </c>
      <c r="BW418" s="28" t="s">
        <v>1068</v>
      </c>
      <c r="BX418" s="28" t="s">
        <v>1068</v>
      </c>
      <c r="BY418" s="28" t="s">
        <v>1068</v>
      </c>
      <c r="BZ418" s="28" t="s">
        <v>1068</v>
      </c>
      <c r="CA418" s="28" t="s">
        <v>1068</v>
      </c>
      <c r="CB418" s="28" t="s">
        <v>1068</v>
      </c>
      <c r="CC418" s="28" t="s">
        <v>1068</v>
      </c>
      <c r="CD418" s="28" t="s">
        <v>1068</v>
      </c>
      <c r="CE418" s="28" t="s">
        <v>1068</v>
      </c>
      <c r="CF418" s="28" t="s">
        <v>1068</v>
      </c>
      <c r="CG418" s="28" t="s">
        <v>1068</v>
      </c>
      <c r="CH418" s="28" t="s">
        <v>1068</v>
      </c>
      <c r="CI418" s="28" t="s">
        <v>1068</v>
      </c>
      <c r="CJ418" s="28" t="s">
        <v>1068</v>
      </c>
      <c r="CK418" s="28" t="s">
        <v>1068</v>
      </c>
      <c r="CL418" s="28" t="s">
        <v>1068</v>
      </c>
      <c r="CM418" s="28"/>
      <c r="CN418" s="28" t="s">
        <v>1068</v>
      </c>
      <c r="CO418" s="28" t="s">
        <v>1068</v>
      </c>
      <c r="CP418" s="28" t="s">
        <v>1068</v>
      </c>
      <c r="CQ418" s="28" t="s">
        <v>1068</v>
      </c>
      <c r="CR418" s="28"/>
      <c r="CS418" s="28" t="s">
        <v>3460</v>
      </c>
      <c r="CT418" s="28" t="s">
        <v>1077</v>
      </c>
      <c r="CU418" s="28" t="s">
        <v>1077</v>
      </c>
      <c r="CV418" s="28" t="s">
        <v>1058</v>
      </c>
      <c r="CW418" s="28"/>
      <c r="CX418" s="28" t="s">
        <v>1080</v>
      </c>
      <c r="CY418" s="28" t="s">
        <v>1084</v>
      </c>
      <c r="CZ418" s="28" t="s">
        <v>1084</v>
      </c>
      <c r="DA418" s="28" t="s">
        <v>3461</v>
      </c>
      <c r="DB418" s="28" t="s">
        <v>1068</v>
      </c>
      <c r="DC418" s="28" t="s">
        <v>1068</v>
      </c>
      <c r="DD418" s="28" t="s">
        <v>1068</v>
      </c>
      <c r="DF418" s="12">
        <v>7</v>
      </c>
    </row>
    <row r="419" spans="1:110" ht="13.35" customHeight="1" x14ac:dyDescent="0.2">
      <c r="A419" s="12">
        <v>24.001000000000001</v>
      </c>
      <c r="B419" s="12">
        <v>-192</v>
      </c>
      <c r="E419" s="20" t="s">
        <v>743</v>
      </c>
      <c r="F419" s="12" t="str">
        <f t="shared" ref="F419:Y419" si="197">F38</f>
        <v>90*</v>
      </c>
      <c r="G419" s="12" t="str">
        <f t="shared" si="197"/>
        <v>80*</v>
      </c>
      <c r="H419" s="12" t="str">
        <f t="shared" si="197"/>
        <v>60*</v>
      </c>
      <c r="I419" s="12" t="str">
        <f t="shared" si="197"/>
        <v>70*</v>
      </c>
      <c r="J419" s="12" t="str">
        <f t="shared" si="197"/>
        <v>40*</v>
      </c>
      <c r="K419" s="12" t="str">
        <f t="shared" si="197"/>
        <v>10/10*</v>
      </c>
      <c r="L419" s="12" t="str">
        <f t="shared" si="197"/>
        <v>10/10*</v>
      </c>
      <c r="M419" s="12" t="str">
        <f t="shared" si="197"/>
        <v>10/10*</v>
      </c>
      <c r="N419" s="12" t="str">
        <f t="shared" si="197"/>
        <v>10/10*</v>
      </c>
      <c r="O419" s="12" t="str">
        <f t="shared" si="197"/>
        <v>10/10*</v>
      </c>
      <c r="P419" s="12" t="str">
        <f t="shared" si="197"/>
        <v>10/10*</v>
      </c>
      <c r="Q419" s="12" t="str">
        <f t="shared" si="197"/>
        <v>12*</v>
      </c>
      <c r="R419" s="12" t="str">
        <f t="shared" si="197"/>
        <v>12*</v>
      </c>
      <c r="S419" s="12" t="str">
        <f t="shared" si="197"/>
        <v>12*</v>
      </c>
      <c r="T419" s="12" t="str">
        <f t="shared" si="197"/>
        <v>30*</v>
      </c>
      <c r="U419" s="12" t="str">
        <f t="shared" si="197"/>
        <v>30*</v>
      </c>
      <c r="V419" s="12" t="str">
        <f t="shared" si="197"/>
        <v>30*</v>
      </c>
      <c r="W419" s="12" t="str">
        <f t="shared" si="197"/>
        <v>30*</v>
      </c>
      <c r="X419" s="12" t="str">
        <f t="shared" si="197"/>
        <v>30*</v>
      </c>
      <c r="Y419" s="12" t="str">
        <f t="shared" si="197"/>
        <v>30*</v>
      </c>
      <c r="Z419" s="28"/>
      <c r="AA419" s="12" t="str">
        <f t="shared" ref="AA419:AD420" si="198">AA38</f>
        <v>5/5</v>
      </c>
      <c r="AB419" s="12" t="str">
        <f t="shared" si="198"/>
        <v>5/5</v>
      </c>
      <c r="AC419" s="12" t="str">
        <f t="shared" si="198"/>
        <v>12*</v>
      </c>
      <c r="AD419" s="12" t="str">
        <f t="shared" si="198"/>
        <v>12*</v>
      </c>
      <c r="AE419" s="28"/>
      <c r="AF419" s="12" t="str">
        <f t="shared" ref="AF419:AH420" si="199">AF38</f>
        <v>12*</v>
      </c>
      <c r="AG419" s="12" t="str">
        <f t="shared" si="199"/>
        <v>10/10*</v>
      </c>
      <c r="AH419" s="12" t="str">
        <f t="shared" si="199"/>
        <v>30*</v>
      </c>
      <c r="AI419" s="28"/>
      <c r="AJ419" s="12" t="str">
        <f t="shared" ref="AJ419:AM420" si="200">AJ38</f>
        <v>30*</v>
      </c>
      <c r="AK419" s="12" t="str">
        <f t="shared" si="200"/>
        <v>12*</v>
      </c>
      <c r="AL419" s="12" t="str">
        <f t="shared" si="200"/>
        <v>10/10*</v>
      </c>
      <c r="AM419" s="12" t="str">
        <f t="shared" si="200"/>
        <v>12*</v>
      </c>
      <c r="AN419" s="28"/>
      <c r="AO419" s="12" t="str">
        <f t="shared" ref="AO419:AQ420" si="201">AO38</f>
        <v>12*</v>
      </c>
      <c r="AP419" s="12" t="str">
        <f t="shared" si="201"/>
        <v>12*</v>
      </c>
      <c r="AQ419" s="12" t="str">
        <f t="shared" si="201"/>
        <v>30*</v>
      </c>
      <c r="AR419" s="28"/>
      <c r="AS419" s="12" t="str">
        <f t="shared" ref="AS419:BX419" si="202">AS38</f>
        <v>10/10*</v>
      </c>
      <c r="AT419" s="12" t="str">
        <f t="shared" si="202"/>
        <v>10/10*</v>
      </c>
      <c r="AU419" s="12" t="str">
        <f t="shared" si="202"/>
        <v>10/10*</v>
      </c>
      <c r="AV419" s="12" t="str">
        <f t="shared" si="202"/>
        <v>10/10*</v>
      </c>
      <c r="AW419" s="12" t="str">
        <f t="shared" si="202"/>
        <v>10/10*</v>
      </c>
      <c r="AX419" s="12" t="str">
        <f t="shared" si="202"/>
        <v>10/10*</v>
      </c>
      <c r="AY419" s="12" t="str">
        <f t="shared" si="202"/>
        <v>10/10*</v>
      </c>
      <c r="AZ419" s="12" t="str">
        <f t="shared" si="202"/>
        <v>10/10*</v>
      </c>
      <c r="BA419" s="12" t="str">
        <f t="shared" si="202"/>
        <v>10/10*</v>
      </c>
      <c r="BB419" s="12" t="str">
        <f t="shared" si="202"/>
        <v>10/10*</v>
      </c>
      <c r="BC419" s="12" t="str">
        <f t="shared" si="202"/>
        <v>10/10*</v>
      </c>
      <c r="BD419" s="12" t="str">
        <f t="shared" si="202"/>
        <v>10/10*</v>
      </c>
      <c r="BE419" s="12" t="str">
        <f t="shared" si="202"/>
        <v>10/10*</v>
      </c>
      <c r="BF419" s="12" t="str">
        <f t="shared" si="202"/>
        <v>10/10*</v>
      </c>
      <c r="BG419" s="12" t="str">
        <f t="shared" si="202"/>
        <v>10/10*</v>
      </c>
      <c r="BH419" s="12" t="str">
        <f t="shared" si="202"/>
        <v>10/10*</v>
      </c>
      <c r="BI419" s="12" t="str">
        <f t="shared" si="202"/>
        <v>10/10*</v>
      </c>
      <c r="BJ419" s="12" t="str">
        <f t="shared" si="202"/>
        <v>10/10*</v>
      </c>
      <c r="BK419" s="12" t="str">
        <f t="shared" si="202"/>
        <v>10/10*</v>
      </c>
      <c r="BL419" s="12" t="str">
        <f t="shared" si="202"/>
        <v>10/10*</v>
      </c>
      <c r="BM419" s="12" t="str">
        <f t="shared" si="202"/>
        <v>10/10*</v>
      </c>
      <c r="BN419" s="12" t="str">
        <f t="shared" si="202"/>
        <v>10/10*</v>
      </c>
      <c r="BO419" s="12" t="str">
        <f t="shared" si="202"/>
        <v>10/10*</v>
      </c>
      <c r="BP419" s="12" t="str">
        <f t="shared" si="202"/>
        <v>10/10*</v>
      </c>
      <c r="BQ419" s="12" t="str">
        <f t="shared" si="202"/>
        <v>10/10*</v>
      </c>
      <c r="BR419" s="12" t="str">
        <f t="shared" si="202"/>
        <v>10/10*</v>
      </c>
      <c r="BS419" s="12" t="str">
        <f t="shared" si="202"/>
        <v>10/10*</v>
      </c>
      <c r="BT419" s="12" t="str">
        <f t="shared" si="202"/>
        <v>10/10*</v>
      </c>
      <c r="BU419" s="12" t="str">
        <f t="shared" si="202"/>
        <v>10/10*</v>
      </c>
      <c r="BV419" s="12" t="str">
        <f t="shared" si="202"/>
        <v>10/10*</v>
      </c>
      <c r="BW419" s="12" t="str">
        <f t="shared" si="202"/>
        <v>10/10*</v>
      </c>
      <c r="BX419" s="12" t="str">
        <f t="shared" si="202"/>
        <v>10/10*</v>
      </c>
      <c r="BY419" s="12" t="str">
        <f t="shared" ref="BY419:CQ419" si="203">BY38</f>
        <v>10/10*</v>
      </c>
      <c r="BZ419" s="12" t="str">
        <f t="shared" si="203"/>
        <v>10/10*</v>
      </c>
      <c r="CA419" s="12" t="str">
        <f t="shared" si="203"/>
        <v>10/10*</v>
      </c>
      <c r="CB419" s="12" t="str">
        <f t="shared" si="203"/>
        <v>10/10*</v>
      </c>
      <c r="CC419" s="12" t="str">
        <f t="shared" si="203"/>
        <v>10/10*</v>
      </c>
      <c r="CD419" s="12" t="str">
        <f t="shared" si="203"/>
        <v>10/10*</v>
      </c>
      <c r="CE419" s="12" t="str">
        <f t="shared" si="203"/>
        <v>10/10*</v>
      </c>
      <c r="CF419" s="12" t="str">
        <f t="shared" si="203"/>
        <v>10/10*</v>
      </c>
      <c r="CG419" s="12" t="str">
        <f t="shared" si="203"/>
        <v>10/10*</v>
      </c>
      <c r="CH419" s="12" t="str">
        <f t="shared" si="203"/>
        <v>10/10*</v>
      </c>
      <c r="CI419" s="12" t="str">
        <f t="shared" si="203"/>
        <v>10/10*</v>
      </c>
      <c r="CJ419" s="12" t="str">
        <f t="shared" si="203"/>
        <v>10/10*</v>
      </c>
      <c r="CK419" s="12" t="str">
        <f t="shared" si="203"/>
        <v>10/10*</v>
      </c>
      <c r="CL419" s="12" t="str">
        <f t="shared" si="203"/>
        <v>10/10*</v>
      </c>
      <c r="CN419" s="12" t="str">
        <f t="shared" si="203"/>
        <v>10/10*</v>
      </c>
      <c r="CO419" s="12" t="str">
        <f t="shared" si="203"/>
        <v>10/10*</v>
      </c>
      <c r="CP419" s="12" t="str">
        <f t="shared" si="203"/>
        <v>10/10*</v>
      </c>
      <c r="CQ419" s="12" t="str">
        <f t="shared" si="203"/>
        <v>10/10*</v>
      </c>
      <c r="CR419" s="28"/>
      <c r="CS419" s="12" t="str">
        <f t="shared" ref="CS419:CV420" si="204">CS38</f>
        <v>100*</v>
      </c>
      <c r="CT419" s="12" t="str">
        <f t="shared" si="204"/>
        <v>80*</v>
      </c>
      <c r="CU419" s="12" t="str">
        <f t="shared" si="204"/>
        <v>50*</v>
      </c>
      <c r="CV419" s="12" t="str">
        <f t="shared" si="204"/>
        <v>60*</v>
      </c>
      <c r="CW419" s="28"/>
      <c r="CX419" s="12" t="str">
        <f t="shared" ref="CX419:DD420" si="205">CX38</f>
        <v>30*</v>
      </c>
      <c r="CY419" s="12" t="str">
        <f t="shared" si="205"/>
        <v>12*</v>
      </c>
      <c r="CZ419" s="12" t="str">
        <f t="shared" si="205"/>
        <v>12*</v>
      </c>
      <c r="DA419" s="12" t="str">
        <f t="shared" si="205"/>
        <v>90</v>
      </c>
      <c r="DB419" s="12" t="str">
        <f t="shared" si="205"/>
        <v>10/10*</v>
      </c>
      <c r="DC419" s="12" t="str">
        <f t="shared" si="205"/>
        <v>10/10*</v>
      </c>
      <c r="DD419" s="12" t="str">
        <f t="shared" si="205"/>
        <v>10/10*</v>
      </c>
      <c r="DF419" s="12">
        <v>8</v>
      </c>
    </row>
    <row r="420" spans="1:110" ht="13.35" customHeight="1" x14ac:dyDescent="0.2">
      <c r="A420" s="12">
        <v>25.001000000000001</v>
      </c>
      <c r="B420" s="12">
        <v>-200</v>
      </c>
      <c r="E420" s="20" t="s">
        <v>744</v>
      </c>
      <c r="F420" s="12" t="str">
        <f t="shared" ref="F420:Y420" si="206">F39</f>
        <v>105*</v>
      </c>
      <c r="G420" s="12" t="str">
        <f t="shared" si="206"/>
        <v>100*</v>
      </c>
      <c r="H420" s="12" t="str">
        <f t="shared" si="206"/>
        <v>90*</v>
      </c>
      <c r="I420" s="12" t="str">
        <f t="shared" si="206"/>
        <v>95*</v>
      </c>
      <c r="J420" s="12" t="str">
        <f t="shared" si="206"/>
        <v>80*</v>
      </c>
      <c r="K420" s="12" t="str">
        <f t="shared" si="206"/>
        <v>20*</v>
      </c>
      <c r="L420" s="12" t="str">
        <f t="shared" si="206"/>
        <v>20*</v>
      </c>
      <c r="M420" s="12" t="str">
        <f t="shared" si="206"/>
        <v>20*</v>
      </c>
      <c r="N420" s="12" t="str">
        <f t="shared" si="206"/>
        <v>20*</v>
      </c>
      <c r="O420" s="12" t="str">
        <f t="shared" si="206"/>
        <v>20*</v>
      </c>
      <c r="P420" s="12" t="str">
        <f t="shared" si="206"/>
        <v>20*</v>
      </c>
      <c r="Q420" s="12" t="str">
        <f t="shared" si="206"/>
        <v>25*</v>
      </c>
      <c r="R420" s="12" t="str">
        <f t="shared" si="206"/>
        <v>25*</v>
      </c>
      <c r="S420" s="12" t="str">
        <f t="shared" si="206"/>
        <v>25*</v>
      </c>
      <c r="T420" s="12" t="str">
        <f t="shared" si="206"/>
        <v>45*</v>
      </c>
      <c r="U420" s="12" t="str">
        <f t="shared" si="206"/>
        <v>45*</v>
      </c>
      <c r="V420" s="12" t="str">
        <f t="shared" si="206"/>
        <v>45*</v>
      </c>
      <c r="W420" s="12" t="str">
        <f t="shared" si="206"/>
        <v>45*</v>
      </c>
      <c r="X420" s="12" t="str">
        <f t="shared" si="206"/>
        <v>45*</v>
      </c>
      <c r="Y420" s="12" t="str">
        <f t="shared" si="206"/>
        <v>45*</v>
      </c>
      <c r="AA420" s="12" t="str">
        <f t="shared" si="198"/>
        <v>6/6</v>
      </c>
      <c r="AB420" s="12" t="str">
        <f t="shared" si="198"/>
        <v>6/6</v>
      </c>
      <c r="AC420" s="12" t="str">
        <f t="shared" si="198"/>
        <v>25*</v>
      </c>
      <c r="AD420" s="12" t="str">
        <f t="shared" si="198"/>
        <v>25*</v>
      </c>
      <c r="AF420" s="12" t="str">
        <f t="shared" si="199"/>
        <v>25*</v>
      </c>
      <c r="AG420" s="12" t="str">
        <f t="shared" si="199"/>
        <v>20*</v>
      </c>
      <c r="AH420" s="12" t="str">
        <f t="shared" si="199"/>
        <v>45*</v>
      </c>
      <c r="AJ420" s="12" t="str">
        <f t="shared" si="200"/>
        <v>45*</v>
      </c>
      <c r="AK420" s="12" t="str">
        <f t="shared" si="200"/>
        <v>25*</v>
      </c>
      <c r="AL420" s="12" t="str">
        <f t="shared" si="200"/>
        <v>20*</v>
      </c>
      <c r="AM420" s="12" t="str">
        <f t="shared" si="200"/>
        <v>25*</v>
      </c>
      <c r="AO420" s="12" t="str">
        <f t="shared" si="201"/>
        <v>25*</v>
      </c>
      <c r="AP420" s="12" t="str">
        <f t="shared" si="201"/>
        <v>25*</v>
      </c>
      <c r="AQ420" s="12" t="str">
        <f t="shared" si="201"/>
        <v>45*</v>
      </c>
      <c r="AS420" s="12" t="str">
        <f t="shared" ref="AS420:BX420" si="207">AS39</f>
        <v>20*</v>
      </c>
      <c r="AT420" s="12" t="str">
        <f t="shared" si="207"/>
        <v>20*</v>
      </c>
      <c r="AU420" s="12" t="str">
        <f t="shared" si="207"/>
        <v>20*</v>
      </c>
      <c r="AV420" s="12" t="str">
        <f t="shared" si="207"/>
        <v>20*</v>
      </c>
      <c r="AW420" s="12" t="str">
        <f t="shared" si="207"/>
        <v>20*</v>
      </c>
      <c r="AX420" s="12" t="str">
        <f t="shared" si="207"/>
        <v>20*</v>
      </c>
      <c r="AY420" s="12" t="str">
        <f t="shared" si="207"/>
        <v>20*</v>
      </c>
      <c r="AZ420" s="12" t="str">
        <f t="shared" si="207"/>
        <v>20*</v>
      </c>
      <c r="BA420" s="12" t="str">
        <f t="shared" si="207"/>
        <v>20*</v>
      </c>
      <c r="BB420" s="12" t="str">
        <f t="shared" si="207"/>
        <v>20*</v>
      </c>
      <c r="BC420" s="12" t="str">
        <f t="shared" si="207"/>
        <v>20*</v>
      </c>
      <c r="BD420" s="12" t="str">
        <f t="shared" si="207"/>
        <v>20*</v>
      </c>
      <c r="BE420" s="12" t="str">
        <f t="shared" si="207"/>
        <v>20*</v>
      </c>
      <c r="BF420" s="12" t="str">
        <f t="shared" si="207"/>
        <v>20*</v>
      </c>
      <c r="BG420" s="12" t="str">
        <f t="shared" si="207"/>
        <v>20*</v>
      </c>
      <c r="BH420" s="12" t="str">
        <f t="shared" si="207"/>
        <v>20*</v>
      </c>
      <c r="BI420" s="12" t="str">
        <f t="shared" si="207"/>
        <v>20*</v>
      </c>
      <c r="BJ420" s="12" t="str">
        <f t="shared" si="207"/>
        <v>20*</v>
      </c>
      <c r="BK420" s="12" t="str">
        <f t="shared" si="207"/>
        <v>20*</v>
      </c>
      <c r="BL420" s="12" t="str">
        <f t="shared" si="207"/>
        <v>20*</v>
      </c>
      <c r="BM420" s="12" t="str">
        <f t="shared" si="207"/>
        <v>20*</v>
      </c>
      <c r="BN420" s="12" t="str">
        <f t="shared" si="207"/>
        <v>20*</v>
      </c>
      <c r="BO420" s="12" t="str">
        <f t="shared" si="207"/>
        <v>20*</v>
      </c>
      <c r="BP420" s="12" t="str">
        <f t="shared" si="207"/>
        <v>20*</v>
      </c>
      <c r="BQ420" s="12" t="str">
        <f t="shared" si="207"/>
        <v>20*</v>
      </c>
      <c r="BR420" s="12" t="str">
        <f t="shared" si="207"/>
        <v>20*</v>
      </c>
      <c r="BS420" s="12" t="str">
        <f t="shared" si="207"/>
        <v>20*</v>
      </c>
      <c r="BT420" s="12" t="str">
        <f t="shared" si="207"/>
        <v>20*</v>
      </c>
      <c r="BU420" s="12" t="str">
        <f t="shared" si="207"/>
        <v>20*</v>
      </c>
      <c r="BV420" s="12" t="str">
        <f t="shared" si="207"/>
        <v>20*</v>
      </c>
      <c r="BW420" s="12" t="str">
        <f t="shared" si="207"/>
        <v>20*</v>
      </c>
      <c r="BX420" s="12" t="str">
        <f t="shared" si="207"/>
        <v>20*</v>
      </c>
      <c r="BY420" s="12" t="str">
        <f t="shared" ref="BY420:CQ420" si="208">BY39</f>
        <v>20*</v>
      </c>
      <c r="BZ420" s="12" t="str">
        <f t="shared" si="208"/>
        <v>20*</v>
      </c>
      <c r="CA420" s="12" t="str">
        <f t="shared" si="208"/>
        <v>20*</v>
      </c>
      <c r="CB420" s="12" t="str">
        <f t="shared" si="208"/>
        <v>20*</v>
      </c>
      <c r="CC420" s="12" t="str">
        <f t="shared" si="208"/>
        <v>20*</v>
      </c>
      <c r="CD420" s="12" t="str">
        <f t="shared" si="208"/>
        <v>20*</v>
      </c>
      <c r="CE420" s="12" t="str">
        <f t="shared" si="208"/>
        <v>20*</v>
      </c>
      <c r="CF420" s="12" t="str">
        <f t="shared" si="208"/>
        <v>20*</v>
      </c>
      <c r="CG420" s="12" t="str">
        <f t="shared" si="208"/>
        <v>20*</v>
      </c>
      <c r="CH420" s="12" t="str">
        <f t="shared" si="208"/>
        <v>20*</v>
      </c>
      <c r="CI420" s="12" t="str">
        <f t="shared" si="208"/>
        <v>20*</v>
      </c>
      <c r="CJ420" s="12" t="str">
        <f t="shared" si="208"/>
        <v>20*</v>
      </c>
      <c r="CK420" s="12" t="str">
        <f t="shared" si="208"/>
        <v>20*</v>
      </c>
      <c r="CL420" s="12" t="str">
        <f t="shared" si="208"/>
        <v>20*</v>
      </c>
      <c r="CN420" s="12" t="str">
        <f t="shared" si="208"/>
        <v>20*</v>
      </c>
      <c r="CO420" s="12" t="str">
        <f t="shared" si="208"/>
        <v>20*</v>
      </c>
      <c r="CP420" s="12" t="str">
        <f t="shared" si="208"/>
        <v>20*</v>
      </c>
      <c r="CQ420" s="12" t="str">
        <f t="shared" si="208"/>
        <v>20*</v>
      </c>
      <c r="CS420" s="12" t="str">
        <f t="shared" si="204"/>
        <v>110*</v>
      </c>
      <c r="CT420" s="12" t="str">
        <f t="shared" si="204"/>
        <v>100*</v>
      </c>
      <c r="CU420" s="12" t="str">
        <f t="shared" si="204"/>
        <v>85*</v>
      </c>
      <c r="CV420" s="12" t="str">
        <f t="shared" si="204"/>
        <v>90*</v>
      </c>
      <c r="CX420" s="12" t="str">
        <f t="shared" si="205"/>
        <v>45*</v>
      </c>
      <c r="CY420" s="12" t="str">
        <f t="shared" si="205"/>
        <v>25*</v>
      </c>
      <c r="CZ420" s="12" t="str">
        <f t="shared" si="205"/>
        <v>25*</v>
      </c>
      <c r="DA420" s="12" t="str">
        <f t="shared" si="205"/>
        <v>105</v>
      </c>
      <c r="DB420" s="12" t="str">
        <f t="shared" si="205"/>
        <v>20*</v>
      </c>
      <c r="DC420" s="12" t="str">
        <f t="shared" si="205"/>
        <v>20*</v>
      </c>
      <c r="DD420" s="12" t="str">
        <f t="shared" si="205"/>
        <v>20*</v>
      </c>
      <c r="DF420" s="12">
        <v>9</v>
      </c>
    </row>
    <row r="421" spans="1:110" ht="13.35" customHeight="1" x14ac:dyDescent="0.2">
      <c r="A421" s="12">
        <v>26.001000000000001</v>
      </c>
      <c r="B421" s="12">
        <v>-208</v>
      </c>
      <c r="E421" s="20" t="s">
        <v>745</v>
      </c>
      <c r="F421" s="12" t="str">
        <f t="shared" ref="F421:Y421" si="209">F37</f>
        <v>120*</v>
      </c>
      <c r="G421" s="12" t="str">
        <f t="shared" si="209"/>
        <v>120*</v>
      </c>
      <c r="H421" s="12" t="str">
        <f t="shared" si="209"/>
        <v>120*</v>
      </c>
      <c r="I421" s="12" t="str">
        <f t="shared" si="209"/>
        <v>120*</v>
      </c>
      <c r="J421" s="12" t="str">
        <f t="shared" si="209"/>
        <v>120*</v>
      </c>
      <c r="K421" s="12" t="str">
        <f t="shared" si="209"/>
        <v>50*</v>
      </c>
      <c r="L421" s="12" t="str">
        <f t="shared" si="209"/>
        <v>50*</v>
      </c>
      <c r="M421" s="12" t="str">
        <f t="shared" si="209"/>
        <v>50*</v>
      </c>
      <c r="N421" s="12" t="str">
        <f t="shared" si="209"/>
        <v>50*</v>
      </c>
      <c r="O421" s="12" t="str">
        <f t="shared" si="209"/>
        <v>50*</v>
      </c>
      <c r="P421" s="12" t="str">
        <f t="shared" si="209"/>
        <v>50*</v>
      </c>
      <c r="Q421" s="12" t="str">
        <f t="shared" si="209"/>
        <v>60*</v>
      </c>
      <c r="R421" s="12" t="str">
        <f t="shared" si="209"/>
        <v>60*</v>
      </c>
      <c r="S421" s="12" t="str">
        <f t="shared" si="209"/>
        <v>60*</v>
      </c>
      <c r="T421" s="12" t="str">
        <f t="shared" si="209"/>
        <v>80*</v>
      </c>
      <c r="U421" s="12" t="str">
        <f t="shared" si="209"/>
        <v>80*</v>
      </c>
      <c r="V421" s="12" t="str">
        <f t="shared" si="209"/>
        <v>80*</v>
      </c>
      <c r="W421" s="12" t="str">
        <f t="shared" si="209"/>
        <v>80*</v>
      </c>
      <c r="X421" s="12" t="str">
        <f t="shared" si="209"/>
        <v>80*</v>
      </c>
      <c r="Y421" s="12" t="str">
        <f t="shared" si="209"/>
        <v>80*</v>
      </c>
      <c r="AA421" s="12" t="str">
        <f>AA37</f>
        <v>10/10</v>
      </c>
      <c r="AB421" s="12" t="str">
        <f>AB37</f>
        <v>10/10</v>
      </c>
      <c r="AC421" s="12" t="str">
        <f>AC37</f>
        <v>60*</v>
      </c>
      <c r="AD421" s="12" t="str">
        <f>AD37</f>
        <v>60*</v>
      </c>
      <c r="AF421" s="12" t="str">
        <f>AF37</f>
        <v>60*</v>
      </c>
      <c r="AG421" s="12" t="str">
        <f>AG37</f>
        <v>50*</v>
      </c>
      <c r="AH421" s="12" t="str">
        <f>AH37</f>
        <v>80*</v>
      </c>
      <c r="AJ421" s="12" t="str">
        <f>AJ37</f>
        <v>80*</v>
      </c>
      <c r="AK421" s="12" t="str">
        <f>AK37</f>
        <v>60*</v>
      </c>
      <c r="AL421" s="12" t="str">
        <f>AL37</f>
        <v>50*</v>
      </c>
      <c r="AM421" s="12" t="str">
        <f>AM37</f>
        <v>60*</v>
      </c>
      <c r="AO421" s="12" t="str">
        <f>AO37</f>
        <v>60*</v>
      </c>
      <c r="AP421" s="12" t="str">
        <f>AP37</f>
        <v>60*</v>
      </c>
      <c r="AQ421" s="12" t="str">
        <f>AQ37</f>
        <v>80*</v>
      </c>
      <c r="AS421" s="12" t="str">
        <f t="shared" ref="AS421:BX421" si="210">AS37</f>
        <v>50*</v>
      </c>
      <c r="AT421" s="12" t="str">
        <f t="shared" si="210"/>
        <v>50*</v>
      </c>
      <c r="AU421" s="12" t="str">
        <f t="shared" si="210"/>
        <v>50*</v>
      </c>
      <c r="AV421" s="12" t="str">
        <f t="shared" si="210"/>
        <v>50*</v>
      </c>
      <c r="AW421" s="12" t="str">
        <f t="shared" si="210"/>
        <v>50*</v>
      </c>
      <c r="AX421" s="12" t="str">
        <f t="shared" si="210"/>
        <v>50*</v>
      </c>
      <c r="AY421" s="12" t="str">
        <f t="shared" si="210"/>
        <v>50*</v>
      </c>
      <c r="AZ421" s="12" t="str">
        <f t="shared" si="210"/>
        <v>50*</v>
      </c>
      <c r="BA421" s="12" t="str">
        <f t="shared" si="210"/>
        <v>50*</v>
      </c>
      <c r="BB421" s="12" t="str">
        <f t="shared" si="210"/>
        <v>50*</v>
      </c>
      <c r="BC421" s="12" t="str">
        <f t="shared" si="210"/>
        <v>50*</v>
      </c>
      <c r="BD421" s="12" t="str">
        <f t="shared" si="210"/>
        <v>50*</v>
      </c>
      <c r="BE421" s="12" t="str">
        <f t="shared" si="210"/>
        <v>50*</v>
      </c>
      <c r="BF421" s="12" t="str">
        <f t="shared" si="210"/>
        <v>50*</v>
      </c>
      <c r="BG421" s="12" t="str">
        <f t="shared" si="210"/>
        <v>50*</v>
      </c>
      <c r="BH421" s="12" t="str">
        <f t="shared" si="210"/>
        <v>50*</v>
      </c>
      <c r="BI421" s="12" t="str">
        <f t="shared" si="210"/>
        <v>50*</v>
      </c>
      <c r="BJ421" s="12" t="str">
        <f t="shared" si="210"/>
        <v>50*</v>
      </c>
      <c r="BK421" s="12" t="str">
        <f t="shared" si="210"/>
        <v>50*</v>
      </c>
      <c r="BL421" s="12" t="str">
        <f t="shared" si="210"/>
        <v>50*</v>
      </c>
      <c r="BM421" s="12" t="str">
        <f t="shared" si="210"/>
        <v>50*</v>
      </c>
      <c r="BN421" s="12" t="str">
        <f t="shared" si="210"/>
        <v>50*</v>
      </c>
      <c r="BO421" s="12" t="str">
        <f t="shared" si="210"/>
        <v>50*</v>
      </c>
      <c r="BP421" s="12" t="str">
        <f t="shared" si="210"/>
        <v>50*</v>
      </c>
      <c r="BQ421" s="12" t="str">
        <f t="shared" si="210"/>
        <v>50*</v>
      </c>
      <c r="BR421" s="12" t="str">
        <f t="shared" si="210"/>
        <v>50*</v>
      </c>
      <c r="BS421" s="12" t="str">
        <f t="shared" si="210"/>
        <v>50*</v>
      </c>
      <c r="BT421" s="12" t="str">
        <f t="shared" si="210"/>
        <v>50*</v>
      </c>
      <c r="BU421" s="12" t="str">
        <f t="shared" si="210"/>
        <v>50*</v>
      </c>
      <c r="BV421" s="12" t="str">
        <f t="shared" si="210"/>
        <v>50*</v>
      </c>
      <c r="BW421" s="12" t="str">
        <f t="shared" si="210"/>
        <v>50*</v>
      </c>
      <c r="BX421" s="12" t="str">
        <f t="shared" si="210"/>
        <v>50*</v>
      </c>
      <c r="BY421" s="12" t="str">
        <f t="shared" ref="BY421:CQ421" si="211">BY37</f>
        <v>50*</v>
      </c>
      <c r="BZ421" s="12" t="str">
        <f t="shared" si="211"/>
        <v>50*</v>
      </c>
      <c r="CA421" s="12" t="str">
        <f t="shared" si="211"/>
        <v>50*</v>
      </c>
      <c r="CB421" s="12" t="str">
        <f t="shared" si="211"/>
        <v>50*</v>
      </c>
      <c r="CC421" s="12" t="str">
        <f t="shared" si="211"/>
        <v>50*</v>
      </c>
      <c r="CD421" s="12" t="str">
        <f t="shared" si="211"/>
        <v>50*</v>
      </c>
      <c r="CE421" s="12" t="str">
        <f t="shared" si="211"/>
        <v>50*</v>
      </c>
      <c r="CF421" s="12" t="str">
        <f t="shared" si="211"/>
        <v>50*</v>
      </c>
      <c r="CG421" s="12" t="str">
        <f t="shared" si="211"/>
        <v>50*</v>
      </c>
      <c r="CH421" s="12" t="str">
        <f t="shared" si="211"/>
        <v>50*</v>
      </c>
      <c r="CI421" s="12" t="str">
        <f t="shared" si="211"/>
        <v>50*</v>
      </c>
      <c r="CJ421" s="12" t="str">
        <f t="shared" si="211"/>
        <v>50*</v>
      </c>
      <c r="CK421" s="12" t="str">
        <f t="shared" si="211"/>
        <v>50*</v>
      </c>
      <c r="CL421" s="12" t="str">
        <f t="shared" si="211"/>
        <v>50*</v>
      </c>
      <c r="CN421" s="12" t="str">
        <f t="shared" si="211"/>
        <v>50*</v>
      </c>
      <c r="CO421" s="12" t="str">
        <f t="shared" si="211"/>
        <v>50*</v>
      </c>
      <c r="CP421" s="12" t="str">
        <f t="shared" si="211"/>
        <v>50*</v>
      </c>
      <c r="CQ421" s="12" t="str">
        <f t="shared" si="211"/>
        <v>50*</v>
      </c>
      <c r="CS421" s="12" t="str">
        <f>CS37</f>
        <v>120*</v>
      </c>
      <c r="CT421" s="12" t="str">
        <f>CT37</f>
        <v>120*</v>
      </c>
      <c r="CU421" s="12" t="str">
        <f>CU37</f>
        <v>110*</v>
      </c>
      <c r="CV421" s="12" t="str">
        <f>CV37</f>
        <v>120*</v>
      </c>
      <c r="CX421" s="12" t="str">
        <f t="shared" ref="CX421:DD421" si="212">CX37</f>
        <v>80*</v>
      </c>
      <c r="CY421" s="12" t="str">
        <f t="shared" si="212"/>
        <v>60*</v>
      </c>
      <c r="CZ421" s="12" t="str">
        <f t="shared" si="212"/>
        <v>60*</v>
      </c>
      <c r="DA421" s="12" t="str">
        <f t="shared" si="212"/>
        <v>120</v>
      </c>
      <c r="DB421" s="12" t="str">
        <f t="shared" si="212"/>
        <v>50*</v>
      </c>
      <c r="DC421" s="12" t="str">
        <f t="shared" si="212"/>
        <v>50*</v>
      </c>
      <c r="DD421" s="12" t="str">
        <f t="shared" si="212"/>
        <v>50*</v>
      </c>
      <c r="DF421" s="12">
        <v>10</v>
      </c>
    </row>
    <row r="422" spans="1:110" ht="13.35" customHeight="1" x14ac:dyDescent="0.2">
      <c r="A422" s="12">
        <v>27.001000000000001</v>
      </c>
      <c r="B422" s="12">
        <v>-216</v>
      </c>
    </row>
    <row r="423" spans="1:110" ht="13.35" customHeight="1" x14ac:dyDescent="0.2">
      <c r="A423" s="12">
        <v>28.001000000000001</v>
      </c>
      <c r="B423" s="12">
        <v>-224</v>
      </c>
    </row>
    <row r="424" spans="1:110" ht="13.35" customHeight="1" x14ac:dyDescent="0.2">
      <c r="A424" s="12">
        <v>29.001000000000001</v>
      </c>
      <c r="B424" s="12">
        <v>-232</v>
      </c>
    </row>
    <row r="425" spans="1:110" ht="13.35" customHeight="1" x14ac:dyDescent="0.2">
      <c r="A425" s="12">
        <v>30.001000000000001</v>
      </c>
      <c r="B425" s="12">
        <v>-240</v>
      </c>
    </row>
    <row r="428" spans="1:110" ht="13.35" customHeight="1" x14ac:dyDescent="0.2">
      <c r="E428" s="20" t="s">
        <v>736</v>
      </c>
      <c r="K428" s="12">
        <v>5</v>
      </c>
      <c r="L428" s="12">
        <v>5</v>
      </c>
      <c r="M428" s="12">
        <v>5</v>
      </c>
      <c r="N428" s="12">
        <v>5</v>
      </c>
      <c r="O428" s="12">
        <v>5</v>
      </c>
      <c r="P428" s="12">
        <v>5</v>
      </c>
      <c r="Q428" s="12">
        <v>5</v>
      </c>
      <c r="R428" s="12">
        <v>5</v>
      </c>
      <c r="S428" s="12">
        <v>5</v>
      </c>
      <c r="AA428" s="12">
        <v>5</v>
      </c>
      <c r="AB428" s="12">
        <v>5</v>
      </c>
      <c r="AD428" s="12">
        <v>5</v>
      </c>
      <c r="AF428" s="12">
        <v>5</v>
      </c>
      <c r="AG428" s="12">
        <v>5</v>
      </c>
      <c r="AK428" s="12">
        <v>5</v>
      </c>
      <c r="AL428" s="12">
        <v>5</v>
      </c>
      <c r="AM428" s="12">
        <v>5</v>
      </c>
      <c r="AO428" s="12">
        <v>5</v>
      </c>
      <c r="AP428" s="12">
        <v>5</v>
      </c>
      <c r="AS428" s="12">
        <v>5</v>
      </c>
      <c r="AT428" s="12">
        <v>5</v>
      </c>
      <c r="AU428" s="12">
        <v>5</v>
      </c>
      <c r="AV428" s="12">
        <v>5</v>
      </c>
      <c r="AW428" s="12">
        <v>5</v>
      </c>
      <c r="AX428" s="12">
        <v>5</v>
      </c>
      <c r="AY428" s="12">
        <v>5</v>
      </c>
      <c r="AZ428" s="12">
        <v>5</v>
      </c>
      <c r="BA428" s="12">
        <v>5</v>
      </c>
      <c r="BB428" s="12">
        <v>5</v>
      </c>
      <c r="BC428" s="12">
        <v>10</v>
      </c>
      <c r="BD428" s="12">
        <v>10</v>
      </c>
      <c r="BE428" s="12">
        <v>10</v>
      </c>
      <c r="BF428" s="12">
        <v>5</v>
      </c>
      <c r="BG428" s="12">
        <v>10</v>
      </c>
      <c r="BH428" s="12">
        <v>5</v>
      </c>
      <c r="BI428" s="12">
        <v>5</v>
      </c>
      <c r="BJ428" s="12">
        <v>5</v>
      </c>
      <c r="BK428" s="12">
        <v>5</v>
      </c>
      <c r="BL428" s="12">
        <v>5</v>
      </c>
      <c r="BM428" s="12">
        <v>5</v>
      </c>
      <c r="BN428" s="12">
        <v>5</v>
      </c>
      <c r="BO428" s="12">
        <v>5</v>
      </c>
      <c r="BP428" s="12">
        <v>5</v>
      </c>
      <c r="BQ428" s="12">
        <v>5</v>
      </c>
      <c r="BR428" s="12">
        <v>10</v>
      </c>
      <c r="BS428" s="12">
        <v>10</v>
      </c>
      <c r="BT428" s="12">
        <v>10</v>
      </c>
      <c r="BU428" s="12">
        <v>5</v>
      </c>
      <c r="BV428" s="12">
        <v>5</v>
      </c>
      <c r="BX428" s="12">
        <v>5</v>
      </c>
      <c r="BY428" s="12">
        <v>5</v>
      </c>
      <c r="BZ428" s="12">
        <v>5</v>
      </c>
      <c r="CA428" s="12">
        <v>5</v>
      </c>
      <c r="CB428" s="12">
        <v>5</v>
      </c>
      <c r="CC428" s="12">
        <v>5</v>
      </c>
      <c r="CD428" s="12">
        <v>5</v>
      </c>
      <c r="CE428" s="12">
        <v>10</v>
      </c>
      <c r="CF428" s="12">
        <v>5</v>
      </c>
      <c r="CG428" s="12">
        <v>5</v>
      </c>
      <c r="CH428" s="12">
        <v>5</v>
      </c>
      <c r="CI428" s="12">
        <v>5</v>
      </c>
      <c r="CJ428" s="12">
        <v>5</v>
      </c>
      <c r="CK428" s="12">
        <v>5</v>
      </c>
      <c r="CL428" s="12">
        <v>5</v>
      </c>
      <c r="CN428" s="12">
        <v>5</v>
      </c>
      <c r="CO428" s="12">
        <v>5</v>
      </c>
      <c r="CP428" s="12">
        <v>5</v>
      </c>
      <c r="CQ428" s="12">
        <v>5</v>
      </c>
      <c r="CX428" s="12">
        <v>5</v>
      </c>
      <c r="CY428" s="12">
        <v>5</v>
      </c>
      <c r="CZ428" s="12">
        <v>5</v>
      </c>
      <c r="DB428" s="12">
        <v>5</v>
      </c>
      <c r="DC428" s="12">
        <v>5</v>
      </c>
      <c r="DD428" s="12">
        <v>5</v>
      </c>
      <c r="DF428" s="12">
        <v>1</v>
      </c>
    </row>
    <row r="429" spans="1:110" ht="13.35" customHeight="1" x14ac:dyDescent="0.2">
      <c r="E429" s="20" t="s">
        <v>3447</v>
      </c>
      <c r="K429" s="12">
        <v>5</v>
      </c>
      <c r="L429" s="12">
        <v>5</v>
      </c>
      <c r="M429" s="12">
        <v>5</v>
      </c>
      <c r="N429" s="12">
        <v>5</v>
      </c>
      <c r="O429" s="12">
        <v>5</v>
      </c>
      <c r="P429" s="12">
        <v>5</v>
      </c>
      <c r="Q429" s="12">
        <v>5</v>
      </c>
      <c r="R429" s="12">
        <v>5</v>
      </c>
      <c r="S429" s="12">
        <v>5</v>
      </c>
      <c r="AA429" s="12">
        <v>5</v>
      </c>
      <c r="AB429" s="12">
        <v>5</v>
      </c>
      <c r="AD429" s="12">
        <v>5</v>
      </c>
      <c r="AF429" s="12">
        <v>5</v>
      </c>
      <c r="AG429" s="12">
        <v>5</v>
      </c>
      <c r="AK429" s="12">
        <v>5</v>
      </c>
      <c r="AL429" s="12">
        <v>5</v>
      </c>
      <c r="AM429" s="12">
        <v>5</v>
      </c>
      <c r="AO429" s="12">
        <v>5</v>
      </c>
      <c r="AP429" s="12">
        <v>5</v>
      </c>
      <c r="AS429" s="12">
        <v>5</v>
      </c>
      <c r="AT429" s="12">
        <v>5</v>
      </c>
      <c r="AU429" s="12">
        <v>5</v>
      </c>
      <c r="AV429" s="12">
        <v>5</v>
      </c>
      <c r="AW429" s="12">
        <v>5</v>
      </c>
      <c r="AX429" s="12">
        <v>5</v>
      </c>
      <c r="AY429" s="12">
        <v>5</v>
      </c>
      <c r="AZ429" s="12">
        <v>5</v>
      </c>
      <c r="BA429" s="12">
        <v>5</v>
      </c>
      <c r="BB429" s="12">
        <v>5</v>
      </c>
      <c r="BC429" s="12">
        <v>10</v>
      </c>
      <c r="BD429" s="12">
        <v>10</v>
      </c>
      <c r="BE429" s="12">
        <v>10</v>
      </c>
      <c r="BF429" s="12">
        <v>5</v>
      </c>
      <c r="BG429" s="12">
        <v>10</v>
      </c>
      <c r="BH429" s="12">
        <v>5</v>
      </c>
      <c r="BI429" s="12">
        <v>5</v>
      </c>
      <c r="BJ429" s="12">
        <v>5</v>
      </c>
      <c r="BK429" s="12">
        <v>5</v>
      </c>
      <c r="BL429" s="12">
        <v>5</v>
      </c>
      <c r="BM429" s="12">
        <v>5</v>
      </c>
      <c r="BN429" s="12">
        <v>5</v>
      </c>
      <c r="BO429" s="12">
        <v>5</v>
      </c>
      <c r="BP429" s="12">
        <v>5</v>
      </c>
      <c r="BQ429" s="12">
        <v>5</v>
      </c>
      <c r="BR429" s="12">
        <v>10</v>
      </c>
      <c r="BS429" s="12">
        <v>10</v>
      </c>
      <c r="BT429" s="12">
        <v>10</v>
      </c>
      <c r="BU429" s="12">
        <v>5</v>
      </c>
      <c r="BV429" s="12">
        <v>5</v>
      </c>
      <c r="BX429" s="12">
        <v>5</v>
      </c>
      <c r="BY429" s="12">
        <v>5</v>
      </c>
      <c r="BZ429" s="12">
        <v>5</v>
      </c>
      <c r="CA429" s="12">
        <v>5</v>
      </c>
      <c r="CB429" s="12">
        <v>5</v>
      </c>
      <c r="CC429" s="12">
        <v>5</v>
      </c>
      <c r="CD429" s="12">
        <v>5</v>
      </c>
      <c r="CE429" s="12">
        <v>10</v>
      </c>
      <c r="CF429" s="12">
        <v>5</v>
      </c>
      <c r="CG429" s="12">
        <v>5</v>
      </c>
      <c r="CH429" s="12">
        <v>5</v>
      </c>
      <c r="CI429" s="12">
        <v>5</v>
      </c>
      <c r="CJ429" s="12">
        <v>5</v>
      </c>
      <c r="CK429" s="12">
        <v>5</v>
      </c>
      <c r="CL429" s="12">
        <v>5</v>
      </c>
      <c r="CN429" s="12">
        <v>5</v>
      </c>
      <c r="CO429" s="12">
        <v>5</v>
      </c>
      <c r="CP429" s="12">
        <v>5</v>
      </c>
      <c r="CQ429" s="12">
        <v>5</v>
      </c>
      <c r="CX429" s="12">
        <v>5</v>
      </c>
      <c r="CY429" s="12">
        <v>5</v>
      </c>
      <c r="CZ429" s="12">
        <v>5</v>
      </c>
      <c r="DB429" s="12">
        <v>5</v>
      </c>
      <c r="DC429" s="12">
        <v>5</v>
      </c>
      <c r="DD429" s="12">
        <v>5</v>
      </c>
      <c r="DF429" s="12">
        <v>2</v>
      </c>
    </row>
    <row r="430" spans="1:110" ht="13.35" customHeight="1" x14ac:dyDescent="0.2">
      <c r="E430" s="20" t="s">
        <v>3452</v>
      </c>
      <c r="K430" s="12">
        <v>5</v>
      </c>
      <c r="L430" s="12">
        <v>5</v>
      </c>
      <c r="M430" s="12">
        <v>5</v>
      </c>
      <c r="N430" s="12">
        <v>5</v>
      </c>
      <c r="O430" s="12">
        <v>5</v>
      </c>
      <c r="P430" s="12">
        <v>5</v>
      </c>
      <c r="Q430" s="12">
        <v>5</v>
      </c>
      <c r="R430" s="12">
        <v>5</v>
      </c>
      <c r="S430" s="12">
        <v>5</v>
      </c>
      <c r="AA430" s="12">
        <v>5</v>
      </c>
      <c r="AB430" s="12">
        <v>5</v>
      </c>
      <c r="AD430" s="12">
        <v>5</v>
      </c>
      <c r="AF430" s="12">
        <v>5</v>
      </c>
      <c r="AG430" s="12">
        <v>5</v>
      </c>
      <c r="AK430" s="12">
        <v>5</v>
      </c>
      <c r="AL430" s="12">
        <v>5</v>
      </c>
      <c r="AM430" s="12">
        <v>5</v>
      </c>
      <c r="AO430" s="12">
        <v>5</v>
      </c>
      <c r="AP430" s="12">
        <v>5</v>
      </c>
      <c r="AS430" s="12">
        <v>5</v>
      </c>
      <c r="AT430" s="12">
        <v>5</v>
      </c>
      <c r="AU430" s="12">
        <v>5</v>
      </c>
      <c r="AV430" s="12">
        <v>5</v>
      </c>
      <c r="AW430" s="12">
        <v>5</v>
      </c>
      <c r="AX430" s="12">
        <v>5</v>
      </c>
      <c r="AY430" s="12">
        <v>5</v>
      </c>
      <c r="AZ430" s="12">
        <v>5</v>
      </c>
      <c r="BA430" s="12">
        <v>5</v>
      </c>
      <c r="BB430" s="12">
        <v>5</v>
      </c>
      <c r="BC430" s="12">
        <v>10</v>
      </c>
      <c r="BD430" s="12">
        <v>10</v>
      </c>
      <c r="BE430" s="12">
        <v>10</v>
      </c>
      <c r="BF430" s="12">
        <v>5</v>
      </c>
      <c r="BG430" s="12">
        <v>10</v>
      </c>
      <c r="BH430" s="12">
        <v>5</v>
      </c>
      <c r="BI430" s="12">
        <v>5</v>
      </c>
      <c r="BJ430" s="12">
        <v>5</v>
      </c>
      <c r="BK430" s="12">
        <v>5</v>
      </c>
      <c r="BL430" s="12">
        <v>5</v>
      </c>
      <c r="BM430" s="12">
        <v>5</v>
      </c>
      <c r="BN430" s="12">
        <v>5</v>
      </c>
      <c r="BO430" s="12">
        <v>5</v>
      </c>
      <c r="BP430" s="12">
        <v>5</v>
      </c>
      <c r="BQ430" s="12">
        <v>5</v>
      </c>
      <c r="BR430" s="12">
        <v>10</v>
      </c>
      <c r="BS430" s="12">
        <v>10</v>
      </c>
      <c r="BT430" s="12">
        <v>10</v>
      </c>
      <c r="BU430" s="12">
        <v>5</v>
      </c>
      <c r="BV430" s="12">
        <v>5</v>
      </c>
      <c r="BX430" s="12">
        <v>5</v>
      </c>
      <c r="BY430" s="12">
        <v>5</v>
      </c>
      <c r="BZ430" s="12">
        <v>5</v>
      </c>
      <c r="CA430" s="12">
        <v>5</v>
      </c>
      <c r="CB430" s="12">
        <v>5</v>
      </c>
      <c r="CC430" s="12">
        <v>5</v>
      </c>
      <c r="CD430" s="12">
        <v>5</v>
      </c>
      <c r="CE430" s="12">
        <v>10</v>
      </c>
      <c r="CF430" s="12">
        <v>5</v>
      </c>
      <c r="CG430" s="12">
        <v>5</v>
      </c>
      <c r="CH430" s="12">
        <v>5</v>
      </c>
      <c r="CI430" s="12">
        <v>5</v>
      </c>
      <c r="CJ430" s="12">
        <v>5</v>
      </c>
      <c r="CK430" s="12">
        <v>5</v>
      </c>
      <c r="CL430" s="12">
        <v>5</v>
      </c>
      <c r="CN430" s="12">
        <v>5</v>
      </c>
      <c r="CO430" s="12">
        <v>5</v>
      </c>
      <c r="CP430" s="12">
        <v>5</v>
      </c>
      <c r="CQ430" s="12">
        <v>5</v>
      </c>
      <c r="CX430" s="12">
        <v>5</v>
      </c>
      <c r="CY430" s="12">
        <v>5</v>
      </c>
      <c r="CZ430" s="12">
        <v>5</v>
      </c>
      <c r="DB430" s="12">
        <v>5</v>
      </c>
      <c r="DC430" s="12">
        <v>5</v>
      </c>
      <c r="DD430" s="12">
        <v>5</v>
      </c>
      <c r="DF430" s="12">
        <v>3</v>
      </c>
    </row>
    <row r="431" spans="1:110" ht="13.35" customHeight="1" x14ac:dyDescent="0.2">
      <c r="E431" s="20" t="s">
        <v>739</v>
      </c>
      <c r="K431" s="12">
        <v>5</v>
      </c>
      <c r="L431" s="12">
        <v>5</v>
      </c>
      <c r="M431" s="12">
        <v>5</v>
      </c>
      <c r="N431" s="12">
        <v>5</v>
      </c>
      <c r="O431" s="12">
        <v>5</v>
      </c>
      <c r="P431" s="12">
        <v>5</v>
      </c>
      <c r="Q431" s="12">
        <v>5</v>
      </c>
      <c r="R431" s="12">
        <v>5</v>
      </c>
      <c r="S431" s="12">
        <v>5</v>
      </c>
      <c r="AA431" s="12">
        <v>5</v>
      </c>
      <c r="AB431" s="12">
        <v>5</v>
      </c>
      <c r="AD431" s="12">
        <v>5</v>
      </c>
      <c r="AF431" s="12">
        <v>5</v>
      </c>
      <c r="AG431" s="12">
        <v>5</v>
      </c>
      <c r="AK431" s="12">
        <v>5</v>
      </c>
      <c r="AL431" s="12">
        <v>5</v>
      </c>
      <c r="AM431" s="12">
        <v>5</v>
      </c>
      <c r="AO431" s="12">
        <v>5</v>
      </c>
      <c r="AP431" s="12">
        <v>5</v>
      </c>
      <c r="AS431" s="12">
        <v>5</v>
      </c>
      <c r="AT431" s="12">
        <v>5</v>
      </c>
      <c r="AU431" s="12">
        <v>5</v>
      </c>
      <c r="AV431" s="12">
        <v>5</v>
      </c>
      <c r="AW431" s="12">
        <v>5</v>
      </c>
      <c r="AX431" s="12">
        <v>5</v>
      </c>
      <c r="AY431" s="12">
        <v>5</v>
      </c>
      <c r="AZ431" s="12">
        <v>5</v>
      </c>
      <c r="BA431" s="12">
        <v>5</v>
      </c>
      <c r="BB431" s="12">
        <v>5</v>
      </c>
      <c r="BC431" s="12">
        <v>10</v>
      </c>
      <c r="BD431" s="12">
        <v>10</v>
      </c>
      <c r="BE431" s="12">
        <v>10</v>
      </c>
      <c r="BF431" s="12">
        <v>5</v>
      </c>
      <c r="BG431" s="12">
        <v>10</v>
      </c>
      <c r="BH431" s="12">
        <v>5</v>
      </c>
      <c r="BI431" s="12">
        <v>5</v>
      </c>
      <c r="BJ431" s="12">
        <v>5</v>
      </c>
      <c r="BK431" s="12">
        <v>5</v>
      </c>
      <c r="BL431" s="12">
        <v>5</v>
      </c>
      <c r="BM431" s="12">
        <v>5</v>
      </c>
      <c r="BN431" s="12">
        <v>5</v>
      </c>
      <c r="BO431" s="12">
        <v>5</v>
      </c>
      <c r="BP431" s="12">
        <v>5</v>
      </c>
      <c r="BQ431" s="12">
        <v>5</v>
      </c>
      <c r="BR431" s="12">
        <v>10</v>
      </c>
      <c r="BS431" s="12">
        <v>10</v>
      </c>
      <c r="BT431" s="12">
        <v>10</v>
      </c>
      <c r="BU431" s="12">
        <v>5</v>
      </c>
      <c r="BV431" s="12">
        <v>5</v>
      </c>
      <c r="BX431" s="12">
        <v>5</v>
      </c>
      <c r="BY431" s="12">
        <v>5</v>
      </c>
      <c r="BZ431" s="12">
        <v>5</v>
      </c>
      <c r="CA431" s="12">
        <v>5</v>
      </c>
      <c r="CB431" s="12">
        <v>5</v>
      </c>
      <c r="CC431" s="12">
        <v>5</v>
      </c>
      <c r="CD431" s="12">
        <v>5</v>
      </c>
      <c r="CE431" s="12">
        <v>10</v>
      </c>
      <c r="CF431" s="12">
        <v>5</v>
      </c>
      <c r="CG431" s="12">
        <v>5</v>
      </c>
      <c r="CH431" s="12">
        <v>5</v>
      </c>
      <c r="CI431" s="12">
        <v>5</v>
      </c>
      <c r="CJ431" s="12">
        <v>5</v>
      </c>
      <c r="CK431" s="12">
        <v>5</v>
      </c>
      <c r="CL431" s="12">
        <v>5</v>
      </c>
      <c r="CN431" s="12">
        <v>5</v>
      </c>
      <c r="CO431" s="12">
        <v>5</v>
      </c>
      <c r="CP431" s="12">
        <v>5</v>
      </c>
      <c r="CQ431" s="12">
        <v>5</v>
      </c>
      <c r="CX431" s="12">
        <v>5</v>
      </c>
      <c r="CY431" s="12">
        <v>5</v>
      </c>
      <c r="CZ431" s="12">
        <v>5</v>
      </c>
      <c r="DB431" s="12">
        <v>5</v>
      </c>
      <c r="DC431" s="12">
        <v>5</v>
      </c>
      <c r="DD431" s="12">
        <v>5</v>
      </c>
      <c r="DF431" s="12">
        <v>4</v>
      </c>
    </row>
    <row r="432" spans="1:110" ht="13.35" customHeight="1" x14ac:dyDescent="0.2">
      <c r="E432" s="20" t="s">
        <v>741</v>
      </c>
      <c r="K432" s="12">
        <v>5</v>
      </c>
      <c r="L432" s="12">
        <v>5</v>
      </c>
      <c r="M432" s="12">
        <v>5</v>
      </c>
      <c r="N432" s="12">
        <v>5</v>
      </c>
      <c r="O432" s="12">
        <v>5</v>
      </c>
      <c r="P432" s="12">
        <v>5</v>
      </c>
      <c r="Q432" s="12">
        <v>5</v>
      </c>
      <c r="R432" s="12">
        <v>5</v>
      </c>
      <c r="S432" s="12">
        <v>5</v>
      </c>
      <c r="AA432" s="12">
        <v>5</v>
      </c>
      <c r="AB432" s="12">
        <v>5</v>
      </c>
      <c r="AD432" s="12">
        <v>5</v>
      </c>
      <c r="AF432" s="12">
        <v>5</v>
      </c>
      <c r="AG432" s="12">
        <v>5</v>
      </c>
      <c r="AK432" s="12">
        <v>5</v>
      </c>
      <c r="AL432" s="12">
        <v>5</v>
      </c>
      <c r="AM432" s="12">
        <v>5</v>
      </c>
      <c r="AO432" s="12">
        <v>5</v>
      </c>
      <c r="AP432" s="12">
        <v>5</v>
      </c>
      <c r="AS432" s="12">
        <v>5</v>
      </c>
      <c r="AT432" s="12">
        <v>5</v>
      </c>
      <c r="AU432" s="12">
        <v>5</v>
      </c>
      <c r="AV432" s="12">
        <v>5</v>
      </c>
      <c r="AW432" s="12">
        <v>5</v>
      </c>
      <c r="AX432" s="12">
        <v>5</v>
      </c>
      <c r="AY432" s="12">
        <v>5</v>
      </c>
      <c r="AZ432" s="12">
        <v>5</v>
      </c>
      <c r="BA432" s="12">
        <v>5</v>
      </c>
      <c r="BB432" s="12">
        <v>5</v>
      </c>
      <c r="BC432" s="12">
        <v>10</v>
      </c>
      <c r="BD432" s="12">
        <v>10</v>
      </c>
      <c r="BE432" s="12">
        <v>10</v>
      </c>
      <c r="BF432" s="12">
        <v>5</v>
      </c>
      <c r="BG432" s="12">
        <v>10</v>
      </c>
      <c r="BH432" s="12">
        <v>5</v>
      </c>
      <c r="BI432" s="12">
        <v>5</v>
      </c>
      <c r="BJ432" s="12">
        <v>5</v>
      </c>
      <c r="BK432" s="12">
        <v>5</v>
      </c>
      <c r="BL432" s="12">
        <v>5</v>
      </c>
      <c r="BM432" s="12">
        <v>5</v>
      </c>
      <c r="BN432" s="12">
        <v>5</v>
      </c>
      <c r="BO432" s="12">
        <v>5</v>
      </c>
      <c r="BP432" s="12">
        <v>5</v>
      </c>
      <c r="BQ432" s="12">
        <v>5</v>
      </c>
      <c r="BR432" s="12">
        <v>10</v>
      </c>
      <c r="BS432" s="12">
        <v>10</v>
      </c>
      <c r="BT432" s="12">
        <v>10</v>
      </c>
      <c r="BU432" s="12">
        <v>5</v>
      </c>
      <c r="BV432" s="12">
        <v>5</v>
      </c>
      <c r="BX432" s="12">
        <v>5</v>
      </c>
      <c r="BY432" s="12">
        <v>5</v>
      </c>
      <c r="BZ432" s="12">
        <v>5</v>
      </c>
      <c r="CA432" s="12">
        <v>5</v>
      </c>
      <c r="CB432" s="12">
        <v>5</v>
      </c>
      <c r="CC432" s="12">
        <v>5</v>
      </c>
      <c r="CD432" s="12">
        <v>5</v>
      </c>
      <c r="CE432" s="12">
        <v>10</v>
      </c>
      <c r="CF432" s="12">
        <v>5</v>
      </c>
      <c r="CG432" s="12">
        <v>5</v>
      </c>
      <c r="CH432" s="12">
        <v>5</v>
      </c>
      <c r="CI432" s="12">
        <v>5</v>
      </c>
      <c r="CJ432" s="12">
        <v>5</v>
      </c>
      <c r="CK432" s="12">
        <v>5</v>
      </c>
      <c r="CL432" s="12">
        <v>5</v>
      </c>
      <c r="CN432" s="12">
        <v>5</v>
      </c>
      <c r="CO432" s="12">
        <v>5</v>
      </c>
      <c r="CP432" s="12">
        <v>5</v>
      </c>
      <c r="CQ432" s="12">
        <v>5</v>
      </c>
      <c r="CX432" s="12">
        <v>5</v>
      </c>
      <c r="CY432" s="12">
        <v>5</v>
      </c>
      <c r="CZ432" s="12">
        <v>5</v>
      </c>
      <c r="DB432" s="12">
        <v>5</v>
      </c>
      <c r="DC432" s="12">
        <v>5</v>
      </c>
      <c r="DD432" s="12">
        <v>5</v>
      </c>
      <c r="DF432" s="12">
        <v>5</v>
      </c>
    </row>
    <row r="433" spans="5:110" ht="13.35" customHeight="1" x14ac:dyDescent="0.2">
      <c r="E433" s="20" t="s">
        <v>742</v>
      </c>
      <c r="K433" s="12">
        <v>5</v>
      </c>
      <c r="L433" s="12">
        <v>5</v>
      </c>
      <c r="M433" s="12">
        <v>5</v>
      </c>
      <c r="N433" s="12">
        <v>5</v>
      </c>
      <c r="O433" s="12">
        <v>5</v>
      </c>
      <c r="P433" s="12">
        <v>5</v>
      </c>
      <c r="Q433" s="12">
        <v>5</v>
      </c>
      <c r="R433" s="12">
        <v>5</v>
      </c>
      <c r="S433" s="12">
        <v>5</v>
      </c>
      <c r="AA433" s="12">
        <v>5</v>
      </c>
      <c r="AB433" s="12">
        <v>5</v>
      </c>
      <c r="AD433" s="12">
        <v>5</v>
      </c>
      <c r="AF433" s="12">
        <v>5</v>
      </c>
      <c r="AG433" s="12">
        <v>5</v>
      </c>
      <c r="AK433" s="12">
        <v>5</v>
      </c>
      <c r="AL433" s="12">
        <v>5</v>
      </c>
      <c r="AM433" s="12">
        <v>5</v>
      </c>
      <c r="AO433" s="12">
        <v>5</v>
      </c>
      <c r="AP433" s="12">
        <v>5</v>
      </c>
      <c r="AS433" s="12">
        <v>5</v>
      </c>
      <c r="AT433" s="12">
        <v>5</v>
      </c>
      <c r="AU433" s="12">
        <v>5</v>
      </c>
      <c r="AV433" s="12">
        <v>5</v>
      </c>
      <c r="AW433" s="12">
        <v>5</v>
      </c>
      <c r="AX433" s="12">
        <v>5</v>
      </c>
      <c r="AY433" s="12">
        <v>5</v>
      </c>
      <c r="AZ433" s="12">
        <v>5</v>
      </c>
      <c r="BA433" s="12">
        <v>5</v>
      </c>
      <c r="BB433" s="12">
        <v>5</v>
      </c>
      <c r="BC433" s="12">
        <v>10</v>
      </c>
      <c r="BD433" s="12">
        <v>10</v>
      </c>
      <c r="BE433" s="12">
        <v>10</v>
      </c>
      <c r="BF433" s="12">
        <v>5</v>
      </c>
      <c r="BG433" s="12">
        <v>10</v>
      </c>
      <c r="BH433" s="12">
        <v>5</v>
      </c>
      <c r="BI433" s="12">
        <v>5</v>
      </c>
      <c r="BJ433" s="12">
        <v>5</v>
      </c>
      <c r="BK433" s="12">
        <v>5</v>
      </c>
      <c r="BL433" s="12">
        <v>5</v>
      </c>
      <c r="BM433" s="12">
        <v>5</v>
      </c>
      <c r="BN433" s="12">
        <v>5</v>
      </c>
      <c r="BO433" s="12">
        <v>5</v>
      </c>
      <c r="BP433" s="12">
        <v>5</v>
      </c>
      <c r="BQ433" s="12">
        <v>5</v>
      </c>
      <c r="BR433" s="12">
        <v>10</v>
      </c>
      <c r="BS433" s="12">
        <v>10</v>
      </c>
      <c r="BT433" s="12">
        <v>10</v>
      </c>
      <c r="BU433" s="12">
        <v>5</v>
      </c>
      <c r="BV433" s="12">
        <v>5</v>
      </c>
      <c r="BX433" s="12">
        <v>5</v>
      </c>
      <c r="BY433" s="12">
        <v>5</v>
      </c>
      <c r="BZ433" s="12">
        <v>5</v>
      </c>
      <c r="CA433" s="12">
        <v>5</v>
      </c>
      <c r="CB433" s="12">
        <v>5</v>
      </c>
      <c r="CC433" s="12">
        <v>5</v>
      </c>
      <c r="CD433" s="12">
        <v>5</v>
      </c>
      <c r="CE433" s="12">
        <v>10</v>
      </c>
      <c r="CF433" s="12">
        <v>5</v>
      </c>
      <c r="CG433" s="12">
        <v>5</v>
      </c>
      <c r="CH433" s="12">
        <v>5</v>
      </c>
      <c r="CI433" s="12">
        <v>5</v>
      </c>
      <c r="CJ433" s="12">
        <v>5</v>
      </c>
      <c r="CK433" s="12">
        <v>5</v>
      </c>
      <c r="CL433" s="12">
        <v>5</v>
      </c>
      <c r="CN433" s="12">
        <v>5</v>
      </c>
      <c r="CO433" s="12">
        <v>5</v>
      </c>
      <c r="CP433" s="12">
        <v>5</v>
      </c>
      <c r="CQ433" s="12">
        <v>5</v>
      </c>
      <c r="CX433" s="12">
        <v>5</v>
      </c>
      <c r="CY433" s="12">
        <v>5</v>
      </c>
      <c r="CZ433" s="12">
        <v>5</v>
      </c>
      <c r="DB433" s="12">
        <v>5</v>
      </c>
      <c r="DC433" s="12">
        <v>5</v>
      </c>
      <c r="DD433" s="12">
        <v>5</v>
      </c>
      <c r="DF433" s="12">
        <v>6</v>
      </c>
    </row>
    <row r="434" spans="5:110" ht="13.35" customHeight="1" x14ac:dyDescent="0.2">
      <c r="E434" s="20" t="s">
        <v>743</v>
      </c>
      <c r="K434" s="12">
        <v>5</v>
      </c>
      <c r="L434" s="12">
        <v>5</v>
      </c>
      <c r="M434" s="12">
        <v>5</v>
      </c>
      <c r="N434" s="12">
        <v>5</v>
      </c>
      <c r="O434" s="12">
        <v>5</v>
      </c>
      <c r="P434" s="12">
        <v>5</v>
      </c>
      <c r="Q434" s="12">
        <v>5</v>
      </c>
      <c r="R434" s="12">
        <v>5</v>
      </c>
      <c r="S434" s="12">
        <v>5</v>
      </c>
      <c r="AA434" s="12">
        <v>5</v>
      </c>
      <c r="AB434" s="12">
        <v>5</v>
      </c>
      <c r="AD434" s="12">
        <v>5</v>
      </c>
      <c r="AF434" s="12">
        <v>5</v>
      </c>
      <c r="AG434" s="12">
        <v>5</v>
      </c>
      <c r="AK434" s="12">
        <v>5</v>
      </c>
      <c r="AL434" s="12">
        <v>5</v>
      </c>
      <c r="AM434" s="12">
        <v>5</v>
      </c>
      <c r="AO434" s="12">
        <v>5</v>
      </c>
      <c r="AP434" s="12">
        <v>5</v>
      </c>
      <c r="AS434" s="12">
        <v>5</v>
      </c>
      <c r="AT434" s="12">
        <v>5</v>
      </c>
      <c r="AU434" s="12">
        <v>5</v>
      </c>
      <c r="AV434" s="12">
        <v>5</v>
      </c>
      <c r="AW434" s="12">
        <v>5</v>
      </c>
      <c r="AX434" s="12">
        <v>5</v>
      </c>
      <c r="AY434" s="12">
        <v>5</v>
      </c>
      <c r="AZ434" s="12">
        <v>5</v>
      </c>
      <c r="BA434" s="12">
        <v>5</v>
      </c>
      <c r="BB434" s="12">
        <v>5</v>
      </c>
      <c r="BC434" s="12">
        <v>10</v>
      </c>
      <c r="BD434" s="12">
        <v>10</v>
      </c>
      <c r="BE434" s="12">
        <v>10</v>
      </c>
      <c r="BF434" s="12">
        <v>5</v>
      </c>
      <c r="BG434" s="12">
        <v>10</v>
      </c>
      <c r="BH434" s="12">
        <v>5</v>
      </c>
      <c r="BI434" s="12">
        <v>5</v>
      </c>
      <c r="BJ434" s="12">
        <v>5</v>
      </c>
      <c r="BK434" s="12">
        <v>5</v>
      </c>
      <c r="BL434" s="12">
        <v>5</v>
      </c>
      <c r="BM434" s="12">
        <v>5</v>
      </c>
      <c r="BN434" s="12">
        <v>5</v>
      </c>
      <c r="BO434" s="12">
        <v>5</v>
      </c>
      <c r="BP434" s="12">
        <v>5</v>
      </c>
      <c r="BQ434" s="12">
        <v>5</v>
      </c>
      <c r="BR434" s="12">
        <v>10</v>
      </c>
      <c r="BS434" s="12">
        <v>10</v>
      </c>
      <c r="BT434" s="12">
        <v>10</v>
      </c>
      <c r="BU434" s="12">
        <v>5</v>
      </c>
      <c r="BV434" s="12">
        <v>5</v>
      </c>
      <c r="BX434" s="12">
        <v>5</v>
      </c>
      <c r="BY434" s="12">
        <v>5</v>
      </c>
      <c r="BZ434" s="12">
        <v>5</v>
      </c>
      <c r="CA434" s="12">
        <v>5</v>
      </c>
      <c r="CB434" s="12">
        <v>5</v>
      </c>
      <c r="CC434" s="12">
        <v>5</v>
      </c>
      <c r="CD434" s="12">
        <v>5</v>
      </c>
      <c r="CE434" s="12">
        <v>10</v>
      </c>
      <c r="CF434" s="12">
        <v>5</v>
      </c>
      <c r="CG434" s="12">
        <v>5</v>
      </c>
      <c r="CH434" s="12">
        <v>5</v>
      </c>
      <c r="CI434" s="12">
        <v>5</v>
      </c>
      <c r="CJ434" s="12">
        <v>5</v>
      </c>
      <c r="CK434" s="12">
        <v>5</v>
      </c>
      <c r="CL434" s="12">
        <v>5</v>
      </c>
      <c r="CN434" s="12">
        <v>5</v>
      </c>
      <c r="CO434" s="12">
        <v>5</v>
      </c>
      <c r="CP434" s="12">
        <v>5</v>
      </c>
      <c r="CQ434" s="12">
        <v>5</v>
      </c>
      <c r="CX434" s="12">
        <v>5</v>
      </c>
      <c r="CY434" s="12">
        <v>5</v>
      </c>
      <c r="CZ434" s="12">
        <v>5</v>
      </c>
      <c r="DB434" s="12">
        <v>5</v>
      </c>
      <c r="DC434" s="12">
        <v>5</v>
      </c>
      <c r="DD434" s="12">
        <v>5</v>
      </c>
      <c r="DF434" s="12">
        <v>7</v>
      </c>
    </row>
    <row r="435" spans="5:110" ht="13.35" customHeight="1" x14ac:dyDescent="0.2">
      <c r="E435" s="20" t="s">
        <v>744</v>
      </c>
      <c r="K435" s="12">
        <v>5</v>
      </c>
      <c r="L435" s="12">
        <v>5</v>
      </c>
      <c r="M435" s="12">
        <v>5</v>
      </c>
      <c r="N435" s="12">
        <v>5</v>
      </c>
      <c r="O435" s="12">
        <v>5</v>
      </c>
      <c r="P435" s="12">
        <v>5</v>
      </c>
      <c r="Q435" s="12">
        <v>5</v>
      </c>
      <c r="R435" s="12">
        <v>5</v>
      </c>
      <c r="S435" s="12">
        <v>5</v>
      </c>
      <c r="AA435" s="12">
        <v>5</v>
      </c>
      <c r="AB435" s="12">
        <v>5</v>
      </c>
      <c r="AD435" s="12">
        <v>5</v>
      </c>
      <c r="AF435" s="12">
        <v>5</v>
      </c>
      <c r="AG435" s="12">
        <v>5</v>
      </c>
      <c r="AK435" s="12">
        <v>5</v>
      </c>
      <c r="AL435" s="12">
        <v>5</v>
      </c>
      <c r="AM435" s="12">
        <v>5</v>
      </c>
      <c r="AO435" s="12">
        <v>5</v>
      </c>
      <c r="AP435" s="12">
        <v>5</v>
      </c>
      <c r="AS435" s="12">
        <v>5</v>
      </c>
      <c r="AT435" s="12">
        <v>5</v>
      </c>
      <c r="AU435" s="12">
        <v>5</v>
      </c>
      <c r="AV435" s="12">
        <v>5</v>
      </c>
      <c r="AW435" s="12">
        <v>5</v>
      </c>
      <c r="AX435" s="12">
        <v>5</v>
      </c>
      <c r="AY435" s="12">
        <v>5</v>
      </c>
      <c r="AZ435" s="12">
        <v>5</v>
      </c>
      <c r="BA435" s="12">
        <v>5</v>
      </c>
      <c r="BB435" s="12">
        <v>5</v>
      </c>
      <c r="BC435" s="12">
        <v>10</v>
      </c>
      <c r="BD435" s="12">
        <v>10</v>
      </c>
      <c r="BE435" s="12">
        <v>10</v>
      </c>
      <c r="BF435" s="12">
        <v>5</v>
      </c>
      <c r="BG435" s="12">
        <v>10</v>
      </c>
      <c r="BH435" s="12">
        <v>5</v>
      </c>
      <c r="BI435" s="12">
        <v>5</v>
      </c>
      <c r="BJ435" s="12">
        <v>5</v>
      </c>
      <c r="BK435" s="12">
        <v>5</v>
      </c>
      <c r="BL435" s="12">
        <v>5</v>
      </c>
      <c r="BM435" s="12">
        <v>5</v>
      </c>
      <c r="BN435" s="12">
        <v>5</v>
      </c>
      <c r="BO435" s="12">
        <v>5</v>
      </c>
      <c r="BP435" s="12">
        <v>5</v>
      </c>
      <c r="BQ435" s="12">
        <v>5</v>
      </c>
      <c r="BR435" s="12">
        <v>10</v>
      </c>
      <c r="BS435" s="12">
        <v>10</v>
      </c>
      <c r="BT435" s="12">
        <v>10</v>
      </c>
      <c r="BU435" s="12">
        <v>5</v>
      </c>
      <c r="BV435" s="12">
        <v>5</v>
      </c>
      <c r="BX435" s="12">
        <v>5</v>
      </c>
      <c r="BY435" s="12">
        <v>5</v>
      </c>
      <c r="BZ435" s="12">
        <v>5</v>
      </c>
      <c r="CA435" s="12">
        <v>5</v>
      </c>
      <c r="CB435" s="12">
        <v>5</v>
      </c>
      <c r="CC435" s="12">
        <v>5</v>
      </c>
      <c r="CD435" s="12">
        <v>5</v>
      </c>
      <c r="CE435" s="12">
        <v>10</v>
      </c>
      <c r="CF435" s="12">
        <v>5</v>
      </c>
      <c r="CG435" s="12">
        <v>5</v>
      </c>
      <c r="CH435" s="12">
        <v>5</v>
      </c>
      <c r="CI435" s="12">
        <v>5</v>
      </c>
      <c r="CJ435" s="12">
        <v>5</v>
      </c>
      <c r="CK435" s="12">
        <v>5</v>
      </c>
      <c r="CL435" s="12">
        <v>5</v>
      </c>
      <c r="CN435" s="12">
        <v>5</v>
      </c>
      <c r="CO435" s="12">
        <v>5</v>
      </c>
      <c r="CP435" s="12">
        <v>5</v>
      </c>
      <c r="CQ435" s="12">
        <v>5</v>
      </c>
      <c r="CX435" s="12">
        <v>5</v>
      </c>
      <c r="CY435" s="12">
        <v>5</v>
      </c>
      <c r="CZ435" s="12">
        <v>5</v>
      </c>
      <c r="DB435" s="12">
        <v>5</v>
      </c>
      <c r="DC435" s="12">
        <v>5</v>
      </c>
      <c r="DD435" s="12">
        <v>5</v>
      </c>
      <c r="DF435" s="12">
        <v>8</v>
      </c>
    </row>
    <row r="436" spans="5:110" ht="13.35" customHeight="1" x14ac:dyDescent="0.2">
      <c r="E436" s="20" t="s">
        <v>745</v>
      </c>
      <c r="K436" s="12">
        <v>5</v>
      </c>
      <c r="L436" s="12">
        <v>5</v>
      </c>
      <c r="M436" s="12">
        <v>5</v>
      </c>
      <c r="N436" s="12">
        <v>5</v>
      </c>
      <c r="O436" s="12">
        <v>5</v>
      </c>
      <c r="P436" s="12">
        <v>5</v>
      </c>
      <c r="Q436" s="12">
        <v>5</v>
      </c>
      <c r="R436" s="12">
        <v>5</v>
      </c>
      <c r="S436" s="12">
        <v>5</v>
      </c>
      <c r="AA436" s="12">
        <v>5</v>
      </c>
      <c r="AB436" s="12">
        <v>5</v>
      </c>
      <c r="AD436" s="12">
        <v>5</v>
      </c>
      <c r="AF436" s="12">
        <v>5</v>
      </c>
      <c r="AG436" s="12">
        <v>5</v>
      </c>
      <c r="AK436" s="12">
        <v>5</v>
      </c>
      <c r="AL436" s="12">
        <v>5</v>
      </c>
      <c r="AM436" s="12">
        <v>5</v>
      </c>
      <c r="AO436" s="12">
        <v>5</v>
      </c>
      <c r="AP436" s="12">
        <v>5</v>
      </c>
      <c r="AS436" s="12">
        <v>5</v>
      </c>
      <c r="AT436" s="12">
        <v>5</v>
      </c>
      <c r="AU436" s="12">
        <v>5</v>
      </c>
      <c r="AV436" s="12">
        <v>5</v>
      </c>
      <c r="AW436" s="12">
        <v>5</v>
      </c>
      <c r="AX436" s="12">
        <v>5</v>
      </c>
      <c r="AY436" s="12">
        <v>5</v>
      </c>
      <c r="AZ436" s="12">
        <v>5</v>
      </c>
      <c r="BA436" s="12">
        <v>5</v>
      </c>
      <c r="BB436" s="12">
        <v>5</v>
      </c>
      <c r="BC436" s="12">
        <v>10</v>
      </c>
      <c r="BD436" s="12">
        <v>10</v>
      </c>
      <c r="BE436" s="12">
        <v>10</v>
      </c>
      <c r="BF436" s="12">
        <v>5</v>
      </c>
      <c r="BG436" s="12">
        <v>10</v>
      </c>
      <c r="BH436" s="12">
        <v>5</v>
      </c>
      <c r="BI436" s="12">
        <v>5</v>
      </c>
      <c r="BJ436" s="12">
        <v>5</v>
      </c>
      <c r="BK436" s="12">
        <v>5</v>
      </c>
      <c r="BL436" s="12">
        <v>5</v>
      </c>
      <c r="BM436" s="12">
        <v>5</v>
      </c>
      <c r="BN436" s="12">
        <v>5</v>
      </c>
      <c r="BO436" s="12">
        <v>5</v>
      </c>
      <c r="BP436" s="12">
        <v>5</v>
      </c>
      <c r="BQ436" s="12">
        <v>5</v>
      </c>
      <c r="BR436" s="12">
        <v>10</v>
      </c>
      <c r="BS436" s="12">
        <v>10</v>
      </c>
      <c r="BT436" s="12">
        <v>10</v>
      </c>
      <c r="BU436" s="12">
        <v>5</v>
      </c>
      <c r="BV436" s="12">
        <v>5</v>
      </c>
      <c r="BX436" s="12">
        <v>5</v>
      </c>
      <c r="BY436" s="12">
        <v>5</v>
      </c>
      <c r="BZ436" s="12">
        <v>5</v>
      </c>
      <c r="CA436" s="12">
        <v>5</v>
      </c>
      <c r="CB436" s="12">
        <v>5</v>
      </c>
      <c r="CC436" s="12">
        <v>5</v>
      </c>
      <c r="CD436" s="12">
        <v>5</v>
      </c>
      <c r="CE436" s="12">
        <v>10</v>
      </c>
      <c r="CF436" s="12">
        <v>5</v>
      </c>
      <c r="CG436" s="12">
        <v>5</v>
      </c>
      <c r="CH436" s="12">
        <v>5</v>
      </c>
      <c r="CI436" s="12">
        <v>5</v>
      </c>
      <c r="CJ436" s="12">
        <v>5</v>
      </c>
      <c r="CK436" s="12">
        <v>5</v>
      </c>
      <c r="CL436" s="12">
        <v>5</v>
      </c>
      <c r="CN436" s="12">
        <v>5</v>
      </c>
      <c r="CO436" s="12">
        <v>5</v>
      </c>
      <c r="CP436" s="12">
        <v>5</v>
      </c>
      <c r="CQ436" s="12">
        <v>5</v>
      </c>
      <c r="CX436" s="12">
        <v>5</v>
      </c>
      <c r="CY436" s="12">
        <v>5</v>
      </c>
      <c r="CZ436" s="12">
        <v>5</v>
      </c>
      <c r="DB436" s="12">
        <v>5</v>
      </c>
      <c r="DC436" s="12">
        <v>5</v>
      </c>
      <c r="DD436" s="12">
        <v>5</v>
      </c>
      <c r="DF436" s="12">
        <v>9</v>
      </c>
    </row>
    <row r="440" spans="5:110" ht="13.35" customHeight="1" x14ac:dyDescent="0.2">
      <c r="E440" s="12" t="s">
        <v>762</v>
      </c>
      <c r="F440" s="12" t="s">
        <v>763</v>
      </c>
      <c r="G440" s="12" t="s">
        <v>764</v>
      </c>
      <c r="H440" s="12" t="s">
        <v>765</v>
      </c>
      <c r="I440" s="12" t="s">
        <v>766</v>
      </c>
      <c r="J440" s="12" t="s">
        <v>767</v>
      </c>
      <c r="K440" s="12" t="s">
        <v>768</v>
      </c>
      <c r="L440" s="12" t="s">
        <v>769</v>
      </c>
      <c r="M440" s="12" t="s">
        <v>770</v>
      </c>
      <c r="N440" s="12" t="s">
        <v>771</v>
      </c>
      <c r="O440" s="12" t="s">
        <v>772</v>
      </c>
      <c r="P440" s="12" t="s">
        <v>773</v>
      </c>
      <c r="Q440" s="12" t="s">
        <v>774</v>
      </c>
      <c r="R440" s="12" t="s">
        <v>775</v>
      </c>
      <c r="S440" s="12" t="s">
        <v>181</v>
      </c>
      <c r="T440" s="12" t="s">
        <v>776</v>
      </c>
      <c r="U440" s="12" t="s">
        <v>777</v>
      </c>
      <c r="V440" s="12" t="s">
        <v>778</v>
      </c>
      <c r="W440" s="12" t="s">
        <v>779</v>
      </c>
      <c r="X440" s="12" t="s">
        <v>780</v>
      </c>
      <c r="Y440" s="12" t="s">
        <v>781</v>
      </c>
      <c r="AA440" s="12" t="s">
        <v>782</v>
      </c>
      <c r="AB440" s="12" t="s">
        <v>783</v>
      </c>
      <c r="AC440" s="12" t="s">
        <v>784</v>
      </c>
      <c r="AD440" s="12" t="s">
        <v>785</v>
      </c>
      <c r="AF440" s="12" t="s">
        <v>786</v>
      </c>
      <c r="AG440" s="12" t="s">
        <v>787</v>
      </c>
      <c r="AH440" s="12" t="s">
        <v>788</v>
      </c>
      <c r="AJ440" s="12" t="s">
        <v>789</v>
      </c>
      <c r="AK440" s="12" t="s">
        <v>790</v>
      </c>
      <c r="AL440" s="12" t="s">
        <v>791</v>
      </c>
      <c r="AM440" s="12" t="s">
        <v>792</v>
      </c>
      <c r="AO440" s="12" t="s">
        <v>793</v>
      </c>
      <c r="AP440" s="12" t="s">
        <v>794</v>
      </c>
      <c r="AQ440" s="12" t="s">
        <v>795</v>
      </c>
      <c r="AS440" s="12" t="s">
        <v>796</v>
      </c>
      <c r="AT440" s="12" t="s">
        <v>797</v>
      </c>
      <c r="AU440" s="12" t="s">
        <v>3444</v>
      </c>
      <c r="AV440" s="12" t="s">
        <v>799</v>
      </c>
      <c r="AW440" s="12" t="s">
        <v>800</v>
      </c>
      <c r="AX440" s="12" t="str">
        <f t="shared" ref="AX440:CQ440" si="213">AX2</f>
        <v>Priest of Community</v>
      </c>
      <c r="AY440" s="12" t="str">
        <f t="shared" si="213"/>
        <v>Priest of Competition</v>
      </c>
      <c r="AZ440" s="12" t="str">
        <f t="shared" si="213"/>
        <v>Priest of Crafts</v>
      </c>
      <c r="BA440" s="12" t="str">
        <f t="shared" si="213"/>
        <v>Priest of Culture</v>
      </c>
      <c r="BB440" s="12" t="str">
        <f t="shared" si="213"/>
        <v>Priest of Darkness, Night</v>
      </c>
      <c r="BC440" s="12" t="str">
        <f t="shared" si="213"/>
        <v>Priest of Dawn</v>
      </c>
      <c r="BD440" s="12" t="str">
        <f t="shared" si="213"/>
        <v>Priest of Death</v>
      </c>
      <c r="BE440" s="12" t="str">
        <f t="shared" si="213"/>
        <v>Priest of Disease</v>
      </c>
      <c r="BF440" s="12" t="str">
        <f t="shared" si="213"/>
        <v>Priest of Earth</v>
      </c>
      <c r="BG440" s="12" t="str">
        <f t="shared" si="213"/>
        <v>Priest of Fate, Destiny</v>
      </c>
      <c r="BH440" s="12" t="str">
        <f t="shared" si="213"/>
        <v>Priest of Fertility</v>
      </c>
      <c r="BI440" s="12" t="str">
        <f t="shared" si="213"/>
        <v>Priest of Fire</v>
      </c>
      <c r="BJ440" s="12" t="str">
        <f t="shared" si="213"/>
        <v>Priest of Fortune, Luck</v>
      </c>
      <c r="BK440" s="12" t="str">
        <f t="shared" si="213"/>
        <v>Priest of Guardianship</v>
      </c>
      <c r="BL440" s="12" t="str">
        <f t="shared" si="213"/>
        <v>Priest of Healing</v>
      </c>
      <c r="BM440" s="12" t="str">
        <f t="shared" si="213"/>
        <v>Priest of Hunting</v>
      </c>
      <c r="BN440" s="12" t="str">
        <f t="shared" si="213"/>
        <v>Priest of Justice, Revenge</v>
      </c>
      <c r="BO440" s="12" t="str">
        <f t="shared" si="213"/>
        <v>Priest of Light</v>
      </c>
      <c r="BP440" s="12" t="str">
        <f t="shared" si="213"/>
        <v>Priest of Lightning</v>
      </c>
      <c r="BQ440" s="12" t="str">
        <f t="shared" si="213"/>
        <v>Priest of Literature</v>
      </c>
      <c r="BR440" s="12" t="str">
        <f t="shared" si="213"/>
        <v>Priest of Love</v>
      </c>
      <c r="BS440" s="12" t="str">
        <f t="shared" si="213"/>
        <v>Priest of Magic</v>
      </c>
      <c r="BT440" s="12" t="str">
        <f t="shared" si="213"/>
        <v>Priest of Marriage</v>
      </c>
      <c r="BU440" s="12" t="str">
        <f t="shared" si="213"/>
        <v>Priest of Messengers</v>
      </c>
      <c r="BV440" s="12" t="str">
        <f t="shared" si="213"/>
        <v>Priest of Metalwork</v>
      </c>
      <c r="BW440" s="12" t="str">
        <f t="shared" si="213"/>
        <v>Priest of Mischief/Trickery</v>
      </c>
      <c r="BX440" s="12" t="str">
        <f t="shared" si="213"/>
        <v>Priest of Moon</v>
      </c>
      <c r="BY440" s="12" t="str">
        <f t="shared" si="213"/>
        <v>Priest of Music, Dance</v>
      </c>
      <c r="BZ440" s="12" t="str">
        <f t="shared" si="213"/>
        <v>Priest of Nature</v>
      </c>
      <c r="CA440" s="12" t="str">
        <f t="shared" si="213"/>
        <v>Priest of Ocean, Rivers</v>
      </c>
      <c r="CB440" s="12" t="str">
        <f t="shared" si="213"/>
        <v>Priest of Oracles</v>
      </c>
      <c r="CC440" s="12" t="str">
        <f t="shared" si="213"/>
        <v>Priest of Peace</v>
      </c>
      <c r="CD440" s="12" t="str">
        <f t="shared" si="213"/>
        <v>Priest of Prosperity</v>
      </c>
      <c r="CE440" s="12" t="str">
        <f t="shared" si="213"/>
        <v>Priest of Redemption</v>
      </c>
      <c r="CF440" s="12" t="str">
        <f t="shared" si="213"/>
        <v>Priest of Rulership</v>
      </c>
      <c r="CG440" s="12" t="str">
        <f t="shared" si="213"/>
        <v>Priest of Seasons</v>
      </c>
      <c r="CH440" s="12" t="str">
        <f t="shared" si="213"/>
        <v>Priest of Sky, Weather</v>
      </c>
      <c r="CI440" s="12" t="str">
        <f t="shared" si="213"/>
        <v>Priest of Strength</v>
      </c>
      <c r="CJ440" s="12" t="str">
        <f t="shared" si="213"/>
        <v>Priest of Sun</v>
      </c>
      <c r="CK440" s="12" t="str">
        <f t="shared" si="213"/>
        <v>Priest of Thunder</v>
      </c>
      <c r="CL440" s="12" t="str">
        <f t="shared" si="213"/>
        <v>Priest of Time</v>
      </c>
      <c r="CN440" s="12" t="str">
        <f t="shared" si="213"/>
        <v>Priest of Vegetation</v>
      </c>
      <c r="CO440" s="12" t="str">
        <f t="shared" si="213"/>
        <v>Priest of War</v>
      </c>
      <c r="CP440" s="12" t="str">
        <f t="shared" si="213"/>
        <v>Priest of Wind</v>
      </c>
      <c r="CQ440" s="12" t="str">
        <f t="shared" si="213"/>
        <v>Priest of Wisdom</v>
      </c>
      <c r="CS440" s="12" t="str">
        <f>CS412</f>
        <v>Barbarian (FRP)</v>
      </c>
      <c r="CT440" s="12" t="str">
        <f>CT412</f>
        <v>Outrider (FRP)</v>
      </c>
      <c r="CU440" s="12" t="str">
        <f>CU412</f>
        <v>Sage (FRP)</v>
      </c>
      <c r="CV440" s="12" t="str">
        <f>CV412</f>
        <v>Swashbuckler (FRP)</v>
      </c>
      <c r="CX440" s="12" t="s">
        <v>851</v>
      </c>
      <c r="CY440" s="12" t="s">
        <v>852</v>
      </c>
      <c r="CZ440" s="12" t="s">
        <v>853</v>
      </c>
      <c r="DA440" s="12" t="s">
        <v>1129</v>
      </c>
      <c r="DB440" s="12" t="s">
        <v>855</v>
      </c>
      <c r="DC440" s="12" t="s">
        <v>856</v>
      </c>
      <c r="DD440" s="12" t="s">
        <v>857</v>
      </c>
      <c r="DE440" s="12" t="s">
        <v>858</v>
      </c>
      <c r="DF440" s="12">
        <v>1</v>
      </c>
    </row>
    <row r="441" spans="5:110" ht="13.35" customHeight="1" x14ac:dyDescent="0.2">
      <c r="E441" s="20" t="s">
        <v>3462</v>
      </c>
      <c r="F441" s="12" t="s">
        <v>3463</v>
      </c>
      <c r="G441" s="12" t="s">
        <v>3464</v>
      </c>
      <c r="H441" s="12" t="s">
        <v>3464</v>
      </c>
      <c r="I441" s="12" t="s">
        <v>3463</v>
      </c>
      <c r="J441" s="12" t="s">
        <v>3465</v>
      </c>
      <c r="K441" s="12" t="s">
        <v>3465</v>
      </c>
      <c r="L441" s="28" t="s">
        <v>3466</v>
      </c>
      <c r="M441" s="12" t="s">
        <v>3465</v>
      </c>
      <c r="N441" s="12" t="s">
        <v>3465</v>
      </c>
      <c r="O441" s="12" t="s">
        <v>3465</v>
      </c>
      <c r="P441" s="12" t="s">
        <v>3465</v>
      </c>
      <c r="Q441" s="12" t="s">
        <v>3465</v>
      </c>
      <c r="R441" s="12" t="s">
        <v>3467</v>
      </c>
      <c r="S441" s="12" t="s">
        <v>3465</v>
      </c>
      <c r="T441" s="12" t="s">
        <v>3468</v>
      </c>
      <c r="U441" s="12" t="s">
        <v>3463</v>
      </c>
      <c r="V441" s="12" t="s">
        <v>3463</v>
      </c>
      <c r="W441" s="12" t="s">
        <v>3469</v>
      </c>
      <c r="X441" s="12" t="s">
        <v>3470</v>
      </c>
      <c r="Y441" s="28" t="s">
        <v>3471</v>
      </c>
      <c r="AA441" s="12" t="s">
        <v>3465</v>
      </c>
      <c r="AB441" s="12" t="s">
        <v>3465</v>
      </c>
      <c r="AC441" s="12" t="s">
        <v>3463</v>
      </c>
      <c r="AD441" s="12" t="s">
        <v>3463</v>
      </c>
      <c r="AF441" s="28" t="s">
        <v>3466</v>
      </c>
      <c r="AG441" s="12" t="s">
        <v>3465</v>
      </c>
      <c r="AH441" s="12" t="s">
        <v>3463</v>
      </c>
      <c r="AJ441" s="12" t="s">
        <v>3463</v>
      </c>
      <c r="AK441" s="28" t="s">
        <v>3471</v>
      </c>
      <c r="AL441" s="28" t="s">
        <v>3471</v>
      </c>
      <c r="AM441" s="28" t="s">
        <v>3466</v>
      </c>
      <c r="AO441" s="12" t="s">
        <v>3465</v>
      </c>
      <c r="AP441" s="12" t="s">
        <v>3465</v>
      </c>
      <c r="AQ441" s="12" t="s">
        <v>3463</v>
      </c>
      <c r="AS441" s="12" t="s">
        <v>3465</v>
      </c>
      <c r="AT441" s="12" t="s">
        <v>3465</v>
      </c>
      <c r="AU441" s="12" t="s">
        <v>3465</v>
      </c>
      <c r="AV441" s="12" t="s">
        <v>3465</v>
      </c>
      <c r="AW441" s="12" t="s">
        <v>3465</v>
      </c>
      <c r="AX441" s="12" t="s">
        <v>3465</v>
      </c>
      <c r="AY441" s="12" t="s">
        <v>3465</v>
      </c>
      <c r="AZ441" s="12" t="s">
        <v>3465</v>
      </c>
      <c r="BA441" s="12" t="s">
        <v>3465</v>
      </c>
      <c r="BB441" s="12" t="s">
        <v>3465</v>
      </c>
      <c r="BC441" s="12" t="s">
        <v>3465</v>
      </c>
      <c r="BD441" s="12" t="s">
        <v>3465</v>
      </c>
      <c r="BE441" s="12" t="s">
        <v>3465</v>
      </c>
      <c r="BF441" s="12" t="s">
        <v>3465</v>
      </c>
      <c r="BG441" s="12" t="s">
        <v>3465</v>
      </c>
      <c r="BH441" s="12" t="s">
        <v>3465</v>
      </c>
      <c r="BI441" s="12" t="s">
        <v>3465</v>
      </c>
      <c r="BJ441" s="12" t="s">
        <v>3465</v>
      </c>
      <c r="BK441" s="12" t="s">
        <v>3465</v>
      </c>
      <c r="BL441" s="12" t="s">
        <v>3465</v>
      </c>
      <c r="BM441" s="12" t="s">
        <v>3465</v>
      </c>
      <c r="BN441" s="12" t="s">
        <v>3465</v>
      </c>
      <c r="BO441" s="12" t="s">
        <v>3465</v>
      </c>
      <c r="BP441" s="12" t="s">
        <v>3465</v>
      </c>
      <c r="BQ441" s="12" t="s">
        <v>3465</v>
      </c>
      <c r="BR441" s="12" t="s">
        <v>3465</v>
      </c>
      <c r="BS441" s="12" t="s">
        <v>3465</v>
      </c>
      <c r="BT441" s="12" t="s">
        <v>3465</v>
      </c>
      <c r="BU441" s="12" t="s">
        <v>3465</v>
      </c>
      <c r="BV441" s="12" t="s">
        <v>3465</v>
      </c>
      <c r="BW441" s="12" t="s">
        <v>3465</v>
      </c>
      <c r="BX441" s="12" t="s">
        <v>3465</v>
      </c>
      <c r="BY441" s="12" t="s">
        <v>3465</v>
      </c>
      <c r="BZ441" s="12" t="s">
        <v>3465</v>
      </c>
      <c r="CA441" s="12" t="s">
        <v>3465</v>
      </c>
      <c r="CB441" s="12" t="s">
        <v>3465</v>
      </c>
      <c r="CC441" s="12" t="s">
        <v>3465</v>
      </c>
      <c r="CD441" s="12" t="s">
        <v>3465</v>
      </c>
      <c r="CE441" s="12" t="s">
        <v>3465</v>
      </c>
      <c r="CF441" s="12" t="s">
        <v>3465</v>
      </c>
      <c r="CG441" s="12" t="s">
        <v>3465</v>
      </c>
      <c r="CH441" s="12" t="s">
        <v>3465</v>
      </c>
      <c r="CI441" s="12" t="s">
        <v>3465</v>
      </c>
      <c r="CJ441" s="12" t="s">
        <v>3465</v>
      </c>
      <c r="CK441" s="12" t="s">
        <v>3465</v>
      </c>
      <c r="CL441" s="12" t="s">
        <v>3465</v>
      </c>
      <c r="CN441" s="12" t="s">
        <v>3465</v>
      </c>
      <c r="CO441" s="12" t="s">
        <v>3465</v>
      </c>
      <c r="CP441" s="12" t="s">
        <v>3465</v>
      </c>
      <c r="CQ441" s="12" t="s">
        <v>3465</v>
      </c>
      <c r="CS441" s="12" t="s">
        <v>3472</v>
      </c>
      <c r="CT441" s="12" t="s">
        <v>3465</v>
      </c>
      <c r="CU441" s="28" t="s">
        <v>3466</v>
      </c>
      <c r="CV441" s="12" t="s">
        <v>3469</v>
      </c>
      <c r="CX441" s="12" t="s">
        <v>3463</v>
      </c>
      <c r="CY441" s="12" t="s">
        <v>3465</v>
      </c>
      <c r="CZ441" s="12" t="s">
        <v>3465</v>
      </c>
      <c r="DA441" s="12" t="s">
        <v>3472</v>
      </c>
      <c r="DE441" s="12">
        <f>DE7</f>
        <v>0</v>
      </c>
      <c r="DF441" s="12">
        <v>2</v>
      </c>
    </row>
    <row r="442" spans="5:110" ht="13.35" customHeight="1" x14ac:dyDescent="0.2">
      <c r="E442" s="20" t="s">
        <v>3473</v>
      </c>
      <c r="AG442" s="60"/>
      <c r="CS442" s="12" t="str">
        <f>CS16</f>
        <v>4/4/4</v>
      </c>
      <c r="CT442" s="12" t="str">
        <f>CT16</f>
        <v>2/2/2</v>
      </c>
      <c r="CU442" s="12" t="str">
        <f>CU16</f>
        <v>1/1/1</v>
      </c>
      <c r="CV442" s="12" t="str">
        <f>CV16</f>
        <v>2/2/2</v>
      </c>
      <c r="DE442" s="12">
        <f>DE16</f>
        <v>0</v>
      </c>
      <c r="DF442" s="12">
        <v>3</v>
      </c>
    </row>
    <row r="443" spans="5:110" ht="13.35" customHeight="1" x14ac:dyDescent="0.2">
      <c r="DF443" s="12">
        <v>4</v>
      </c>
    </row>
    <row r="444" spans="5:110" ht="13.35" customHeight="1" x14ac:dyDescent="0.2">
      <c r="E444" s="12" t="s">
        <v>728</v>
      </c>
      <c r="F444" s="12">
        <v>6</v>
      </c>
      <c r="G444" s="12">
        <v>2</v>
      </c>
      <c r="H444" s="12">
        <v>4</v>
      </c>
      <c r="I444" s="12">
        <v>6</v>
      </c>
      <c r="J444" s="12">
        <v>6</v>
      </c>
      <c r="K444" s="12">
        <v>15</v>
      </c>
      <c r="L444" s="12">
        <v>9</v>
      </c>
      <c r="M444" s="12">
        <v>15</v>
      </c>
      <c r="N444" s="12">
        <v>10</v>
      </c>
      <c r="O444" s="12">
        <v>15</v>
      </c>
      <c r="P444" s="12">
        <v>15</v>
      </c>
      <c r="Q444" s="12">
        <v>15</v>
      </c>
      <c r="R444" s="12">
        <v>15</v>
      </c>
      <c r="S444" s="12">
        <v>15</v>
      </c>
      <c r="T444" s="12">
        <v>6</v>
      </c>
      <c r="U444" s="12">
        <v>15</v>
      </c>
      <c r="V444" s="12">
        <v>8</v>
      </c>
      <c r="W444" s="12">
        <v>6</v>
      </c>
      <c r="X444" s="12">
        <v>12</v>
      </c>
      <c r="Y444" s="12">
        <v>5</v>
      </c>
      <c r="AA444" s="12">
        <v>16</v>
      </c>
      <c r="AB444" s="12">
        <v>16</v>
      </c>
      <c r="AC444" s="12">
        <v>10</v>
      </c>
      <c r="AD444" s="12">
        <v>6</v>
      </c>
      <c r="AF444" s="12">
        <v>12</v>
      </c>
      <c r="AG444" s="12">
        <v>12</v>
      </c>
      <c r="AH444" s="12">
        <v>8</v>
      </c>
      <c r="AJ444" s="12">
        <v>8</v>
      </c>
      <c r="AK444" s="12">
        <v>16</v>
      </c>
      <c r="AL444" s="12">
        <v>15</v>
      </c>
      <c r="AM444" s="12">
        <v>15</v>
      </c>
      <c r="AO444" s="12">
        <v>15</v>
      </c>
      <c r="AP444" s="12">
        <v>15</v>
      </c>
      <c r="AQ444" s="12">
        <v>6</v>
      </c>
      <c r="AS444" s="12">
        <v>15</v>
      </c>
      <c r="AT444" s="12">
        <v>15</v>
      </c>
      <c r="AU444" s="12">
        <v>15</v>
      </c>
      <c r="AV444" s="12">
        <v>15</v>
      </c>
      <c r="AW444" s="12">
        <v>15</v>
      </c>
      <c r="AX444" s="12">
        <v>15</v>
      </c>
      <c r="AY444" s="12">
        <v>15</v>
      </c>
      <c r="AZ444" s="12">
        <v>15</v>
      </c>
      <c r="BA444" s="12">
        <v>15</v>
      </c>
      <c r="BB444" s="12">
        <v>15</v>
      </c>
      <c r="BC444" s="12">
        <v>15</v>
      </c>
      <c r="BD444" s="12">
        <v>15</v>
      </c>
      <c r="BE444" s="12">
        <v>15</v>
      </c>
      <c r="BF444" s="12">
        <v>15</v>
      </c>
      <c r="BG444" s="12">
        <v>15</v>
      </c>
      <c r="BH444" s="12">
        <v>15</v>
      </c>
      <c r="BI444" s="12">
        <v>15</v>
      </c>
      <c r="BJ444" s="12">
        <v>15</v>
      </c>
      <c r="BK444" s="12">
        <v>15</v>
      </c>
      <c r="BL444" s="12">
        <v>15</v>
      </c>
      <c r="BM444" s="12">
        <v>15</v>
      </c>
      <c r="BN444" s="12">
        <v>15</v>
      </c>
      <c r="BO444" s="12">
        <v>15</v>
      </c>
      <c r="BP444" s="12">
        <v>15</v>
      </c>
      <c r="BQ444" s="12">
        <v>15</v>
      </c>
      <c r="BR444" s="12">
        <v>15</v>
      </c>
      <c r="BS444" s="12">
        <v>15</v>
      </c>
      <c r="BT444" s="12">
        <v>15</v>
      </c>
      <c r="BU444" s="12">
        <v>15</v>
      </c>
      <c r="BV444" s="12">
        <v>15</v>
      </c>
      <c r="BW444" s="12">
        <v>15</v>
      </c>
      <c r="BX444" s="12">
        <v>15</v>
      </c>
      <c r="BY444" s="12">
        <v>15</v>
      </c>
      <c r="BZ444" s="12">
        <v>15</v>
      </c>
      <c r="CA444" s="12">
        <v>15</v>
      </c>
      <c r="CB444" s="12">
        <v>15</v>
      </c>
      <c r="CC444" s="12">
        <v>15</v>
      </c>
      <c r="CD444" s="12">
        <v>15</v>
      </c>
      <c r="CE444" s="12">
        <v>15</v>
      </c>
      <c r="CF444" s="12">
        <v>15</v>
      </c>
      <c r="CG444" s="12">
        <v>15</v>
      </c>
      <c r="CH444" s="12">
        <v>15</v>
      </c>
      <c r="CI444" s="12">
        <v>15</v>
      </c>
      <c r="CJ444" s="12">
        <v>15</v>
      </c>
      <c r="CK444" s="12">
        <v>15</v>
      </c>
      <c r="CL444" s="12">
        <v>15</v>
      </c>
      <c r="CN444" s="12">
        <v>15</v>
      </c>
      <c r="CO444" s="12">
        <v>15</v>
      </c>
      <c r="CP444" s="12">
        <v>15</v>
      </c>
      <c r="CQ444" s="12">
        <v>15</v>
      </c>
      <c r="CS444" s="12">
        <v>3</v>
      </c>
      <c r="CT444" s="12">
        <v>3</v>
      </c>
      <c r="CU444" s="12">
        <v>6</v>
      </c>
      <c r="CV444" s="12">
        <v>4</v>
      </c>
      <c r="CX444" s="12">
        <v>15</v>
      </c>
      <c r="CY444" s="12">
        <v>15</v>
      </c>
      <c r="CZ444" s="12">
        <v>10</v>
      </c>
      <c r="DA444" s="12">
        <v>3</v>
      </c>
      <c r="DB444" s="12">
        <v>15</v>
      </c>
      <c r="DC444" s="12">
        <v>15</v>
      </c>
      <c r="DD444" s="12">
        <v>15</v>
      </c>
      <c r="DF444" s="12">
        <v>5</v>
      </c>
    </row>
    <row r="445" spans="5:110" ht="13.35" customHeight="1" x14ac:dyDescent="0.2">
      <c r="E445" s="12" t="s">
        <v>729</v>
      </c>
      <c r="F445" s="12">
        <v>10</v>
      </c>
      <c r="G445" s="12">
        <v>6</v>
      </c>
      <c r="H445" s="12">
        <v>8</v>
      </c>
      <c r="I445" s="12">
        <v>12</v>
      </c>
      <c r="J445" s="12">
        <v>12</v>
      </c>
      <c r="K445" s="12">
        <v>30</v>
      </c>
      <c r="L445" s="12">
        <v>18</v>
      </c>
      <c r="M445" s="12">
        <v>30</v>
      </c>
      <c r="N445" s="12">
        <v>20</v>
      </c>
      <c r="O445" s="12">
        <v>30</v>
      </c>
      <c r="P445" s="12">
        <v>30</v>
      </c>
      <c r="Q445" s="12">
        <v>30</v>
      </c>
      <c r="R445" s="12">
        <v>30</v>
      </c>
      <c r="S445" s="12">
        <v>30</v>
      </c>
      <c r="T445" s="12">
        <v>12</v>
      </c>
      <c r="U445" s="12">
        <v>30</v>
      </c>
      <c r="V445" s="12">
        <v>16</v>
      </c>
      <c r="W445" s="12">
        <v>12</v>
      </c>
      <c r="X445" s="12">
        <v>24</v>
      </c>
      <c r="Y445" s="12">
        <v>10</v>
      </c>
      <c r="AA445" s="12">
        <v>32</v>
      </c>
      <c r="AB445" s="12">
        <v>32</v>
      </c>
      <c r="AC445" s="12">
        <v>20</v>
      </c>
      <c r="AD445" s="12">
        <v>14</v>
      </c>
      <c r="AF445" s="12">
        <v>24</v>
      </c>
      <c r="AG445" s="12">
        <v>24</v>
      </c>
      <c r="AH445" s="12">
        <v>16</v>
      </c>
      <c r="AJ445" s="12">
        <v>16</v>
      </c>
      <c r="AK445" s="12">
        <v>32</v>
      </c>
      <c r="AL445" s="12">
        <v>30</v>
      </c>
      <c r="AM445" s="12">
        <v>30</v>
      </c>
      <c r="AO445" s="12">
        <v>30</v>
      </c>
      <c r="AP445" s="12">
        <v>30</v>
      </c>
      <c r="AQ445" s="12">
        <v>12</v>
      </c>
      <c r="AS445" s="12">
        <v>30</v>
      </c>
      <c r="AT445" s="12">
        <v>30</v>
      </c>
      <c r="AU445" s="12">
        <v>30</v>
      </c>
      <c r="AV445" s="12">
        <v>30</v>
      </c>
      <c r="AW445" s="12">
        <v>30</v>
      </c>
      <c r="AX445" s="12">
        <v>30</v>
      </c>
      <c r="AY445" s="12">
        <v>30</v>
      </c>
      <c r="AZ445" s="12">
        <v>30</v>
      </c>
      <c r="BA445" s="12">
        <v>30</v>
      </c>
      <c r="BB445" s="12">
        <v>30</v>
      </c>
      <c r="BC445" s="12">
        <v>30</v>
      </c>
      <c r="BD445" s="12">
        <v>30</v>
      </c>
      <c r="BE445" s="12">
        <v>30</v>
      </c>
      <c r="BF445" s="12">
        <v>30</v>
      </c>
      <c r="BG445" s="12">
        <v>30</v>
      </c>
      <c r="BH445" s="12">
        <v>30</v>
      </c>
      <c r="BI445" s="12">
        <v>30</v>
      </c>
      <c r="BJ445" s="12">
        <v>30</v>
      </c>
      <c r="BK445" s="12">
        <v>30</v>
      </c>
      <c r="BL445" s="12">
        <v>30</v>
      </c>
      <c r="BM445" s="12">
        <v>30</v>
      </c>
      <c r="BN445" s="12">
        <v>30</v>
      </c>
      <c r="BO445" s="12">
        <v>30</v>
      </c>
      <c r="BP445" s="12">
        <v>30</v>
      </c>
      <c r="BQ445" s="12">
        <v>30</v>
      </c>
      <c r="BR445" s="12">
        <v>30</v>
      </c>
      <c r="BS445" s="12">
        <v>30</v>
      </c>
      <c r="BT445" s="12">
        <v>30</v>
      </c>
      <c r="BU445" s="12">
        <v>30</v>
      </c>
      <c r="BV445" s="12">
        <v>30</v>
      </c>
      <c r="BW445" s="12">
        <v>30</v>
      </c>
      <c r="BX445" s="12">
        <v>30</v>
      </c>
      <c r="BY445" s="12">
        <v>30</v>
      </c>
      <c r="BZ445" s="12">
        <v>30</v>
      </c>
      <c r="CA445" s="12">
        <v>30</v>
      </c>
      <c r="CB445" s="12">
        <v>30</v>
      </c>
      <c r="CC445" s="12">
        <v>30</v>
      </c>
      <c r="CD445" s="12">
        <v>30</v>
      </c>
      <c r="CE445" s="12">
        <v>30</v>
      </c>
      <c r="CF445" s="12">
        <v>30</v>
      </c>
      <c r="CG445" s="12">
        <v>30</v>
      </c>
      <c r="CH445" s="12">
        <v>30</v>
      </c>
      <c r="CI445" s="12">
        <v>30</v>
      </c>
      <c r="CJ445" s="12">
        <v>30</v>
      </c>
      <c r="CK445" s="12">
        <v>30</v>
      </c>
      <c r="CL445" s="12">
        <v>30</v>
      </c>
      <c r="CN445" s="12">
        <v>30</v>
      </c>
      <c r="CO445" s="12">
        <v>30</v>
      </c>
      <c r="CP445" s="12">
        <v>30</v>
      </c>
      <c r="CQ445" s="12">
        <v>30</v>
      </c>
      <c r="CS445" s="12">
        <v>9</v>
      </c>
      <c r="CT445" s="12">
        <v>9</v>
      </c>
      <c r="CU445" s="12">
        <v>12</v>
      </c>
      <c r="CV445" s="12">
        <v>8</v>
      </c>
      <c r="CX445" s="12">
        <v>30</v>
      </c>
      <c r="CY445" s="12">
        <v>30</v>
      </c>
      <c r="CZ445" s="12">
        <v>20</v>
      </c>
      <c r="DA445" s="12">
        <v>9</v>
      </c>
      <c r="DB445" s="12">
        <v>30</v>
      </c>
      <c r="DC445" s="12">
        <v>30</v>
      </c>
      <c r="DD445" s="12">
        <v>30</v>
      </c>
      <c r="DF445" s="12">
        <v>6</v>
      </c>
    </row>
    <row r="446" spans="5:110" ht="13.35" customHeight="1" x14ac:dyDescent="0.2">
      <c r="E446" s="12" t="s">
        <v>730</v>
      </c>
      <c r="F446" s="12">
        <v>3</v>
      </c>
      <c r="G446" s="12">
        <v>3</v>
      </c>
      <c r="H446" s="12">
        <v>2</v>
      </c>
      <c r="I446" s="12">
        <v>2</v>
      </c>
      <c r="J446" s="12">
        <v>3</v>
      </c>
      <c r="K446" s="12">
        <v>3</v>
      </c>
      <c r="L446" s="12">
        <v>3</v>
      </c>
      <c r="M446" s="12">
        <v>3</v>
      </c>
      <c r="N446" s="12">
        <v>3</v>
      </c>
      <c r="O446" s="12">
        <v>3</v>
      </c>
      <c r="P446" s="12">
        <v>3</v>
      </c>
      <c r="Q446" s="12">
        <v>3</v>
      </c>
      <c r="R446" s="12">
        <v>3</v>
      </c>
      <c r="S446" s="12">
        <v>3</v>
      </c>
      <c r="T446" s="12">
        <v>3</v>
      </c>
      <c r="U446" s="12">
        <v>3</v>
      </c>
      <c r="V446" s="12">
        <v>3</v>
      </c>
      <c r="W446" s="12">
        <v>3</v>
      </c>
      <c r="X446" s="12">
        <v>2</v>
      </c>
      <c r="Y446" s="12">
        <v>3</v>
      </c>
      <c r="AA446" s="12">
        <v>3</v>
      </c>
      <c r="AB446" s="12">
        <v>3</v>
      </c>
      <c r="AC446" s="12">
        <v>3</v>
      </c>
      <c r="AD446" s="12">
        <v>3</v>
      </c>
      <c r="AF446" s="12">
        <v>3</v>
      </c>
      <c r="AG446" s="12">
        <v>3</v>
      </c>
      <c r="AH446" s="12">
        <v>3</v>
      </c>
      <c r="AJ446" s="12">
        <v>3</v>
      </c>
      <c r="AK446" s="12">
        <v>3</v>
      </c>
      <c r="AL446" s="12">
        <v>2</v>
      </c>
      <c r="AM446" s="12">
        <v>2</v>
      </c>
      <c r="AO446" s="12">
        <v>3</v>
      </c>
      <c r="AP446" s="12">
        <v>3</v>
      </c>
      <c r="AQ446" s="12">
        <v>3</v>
      </c>
      <c r="AS446" s="12">
        <v>2</v>
      </c>
      <c r="AT446" s="12">
        <v>2</v>
      </c>
      <c r="AU446" s="12">
        <v>2</v>
      </c>
      <c r="AV446" s="12">
        <v>2</v>
      </c>
      <c r="AW446" s="12">
        <v>2</v>
      </c>
      <c r="AX446" s="12">
        <v>2</v>
      </c>
      <c r="AY446" s="12">
        <v>2</v>
      </c>
      <c r="AZ446" s="12">
        <v>2</v>
      </c>
      <c r="BA446" s="12">
        <v>2</v>
      </c>
      <c r="BB446" s="12">
        <v>2</v>
      </c>
      <c r="BC446" s="12">
        <v>2</v>
      </c>
      <c r="BD446" s="12">
        <v>2</v>
      </c>
      <c r="BE446" s="12">
        <v>2</v>
      </c>
      <c r="BF446" s="12">
        <v>2</v>
      </c>
      <c r="BG446" s="12">
        <v>2</v>
      </c>
      <c r="BH446" s="12">
        <v>2</v>
      </c>
      <c r="BI446" s="12">
        <v>2</v>
      </c>
      <c r="BJ446" s="12">
        <v>2</v>
      </c>
      <c r="BK446" s="12">
        <v>2</v>
      </c>
      <c r="BL446" s="12">
        <v>2</v>
      </c>
      <c r="BM446" s="12">
        <v>2</v>
      </c>
      <c r="BN446" s="12">
        <v>2</v>
      </c>
      <c r="BO446" s="12">
        <v>2</v>
      </c>
      <c r="BP446" s="12">
        <v>2</v>
      </c>
      <c r="BQ446" s="12">
        <v>2</v>
      </c>
      <c r="BR446" s="12">
        <v>2</v>
      </c>
      <c r="BS446" s="12">
        <v>2</v>
      </c>
      <c r="BT446" s="12">
        <v>2</v>
      </c>
      <c r="BU446" s="12">
        <v>2</v>
      </c>
      <c r="BV446" s="12">
        <v>2</v>
      </c>
      <c r="BW446" s="12">
        <v>2</v>
      </c>
      <c r="BX446" s="12">
        <v>2</v>
      </c>
      <c r="BY446" s="12">
        <v>2</v>
      </c>
      <c r="BZ446" s="12">
        <v>2</v>
      </c>
      <c r="CA446" s="12">
        <v>2</v>
      </c>
      <c r="CB446" s="12">
        <v>2</v>
      </c>
      <c r="CC446" s="12">
        <v>2</v>
      </c>
      <c r="CD446" s="12">
        <v>2</v>
      </c>
      <c r="CE446" s="12">
        <v>2</v>
      </c>
      <c r="CF446" s="12">
        <v>2</v>
      </c>
      <c r="CG446" s="12">
        <v>2</v>
      </c>
      <c r="CH446" s="12">
        <v>2</v>
      </c>
      <c r="CI446" s="12">
        <v>2</v>
      </c>
      <c r="CJ446" s="12">
        <v>2</v>
      </c>
      <c r="CK446" s="12">
        <v>2</v>
      </c>
      <c r="CL446" s="12">
        <v>2</v>
      </c>
      <c r="CN446" s="12">
        <v>2</v>
      </c>
      <c r="CO446" s="12">
        <v>2</v>
      </c>
      <c r="CP446" s="12">
        <v>2</v>
      </c>
      <c r="CQ446" s="12">
        <v>2</v>
      </c>
      <c r="CS446" s="12">
        <v>3</v>
      </c>
      <c r="CT446" s="12">
        <v>3</v>
      </c>
      <c r="CU446" s="12">
        <v>2</v>
      </c>
      <c r="CV446" s="12">
        <v>2</v>
      </c>
      <c r="CX446" s="12">
        <v>3</v>
      </c>
      <c r="CY446" s="12">
        <v>3</v>
      </c>
      <c r="CZ446" s="12">
        <v>3</v>
      </c>
      <c r="DA446" s="12">
        <v>3</v>
      </c>
      <c r="DB446" s="12">
        <v>3</v>
      </c>
      <c r="DC446" s="12">
        <v>3</v>
      </c>
      <c r="DD446" s="12">
        <v>3</v>
      </c>
      <c r="DF446" s="12">
        <v>7</v>
      </c>
    </row>
    <row r="447" spans="5:110" ht="13.35" customHeight="1" x14ac:dyDescent="0.2">
      <c r="E447" s="12" t="s">
        <v>732</v>
      </c>
      <c r="F447" s="12">
        <v>7</v>
      </c>
      <c r="G447" s="12">
        <v>7</v>
      </c>
      <c r="H447" s="12">
        <v>7</v>
      </c>
      <c r="I447" s="12">
        <v>7</v>
      </c>
      <c r="J447" s="12">
        <v>7</v>
      </c>
      <c r="K447" s="12">
        <v>7</v>
      </c>
      <c r="L447" s="12">
        <v>7</v>
      </c>
      <c r="M447" s="12">
        <v>7</v>
      </c>
      <c r="N447" s="12">
        <v>7</v>
      </c>
      <c r="O447" s="12">
        <v>7</v>
      </c>
      <c r="P447" s="12">
        <v>7</v>
      </c>
      <c r="Q447" s="12">
        <v>7</v>
      </c>
      <c r="R447" s="12">
        <v>7</v>
      </c>
      <c r="S447" s="12">
        <v>7</v>
      </c>
      <c r="T447" s="12">
        <v>7</v>
      </c>
      <c r="U447" s="12">
        <v>7</v>
      </c>
      <c r="V447" s="12">
        <v>7</v>
      </c>
      <c r="W447" s="12">
        <v>7</v>
      </c>
      <c r="X447" s="12">
        <v>4</v>
      </c>
      <c r="Y447" s="12">
        <v>7</v>
      </c>
      <c r="AA447" s="12">
        <v>6</v>
      </c>
      <c r="AB447" s="12">
        <v>6</v>
      </c>
      <c r="AC447" s="12">
        <v>7</v>
      </c>
      <c r="AD447" s="12">
        <v>7</v>
      </c>
      <c r="AF447" s="12">
        <v>7</v>
      </c>
      <c r="AG447" s="12">
        <v>5</v>
      </c>
      <c r="AH447" s="12">
        <v>7</v>
      </c>
      <c r="AJ447" s="12">
        <v>9</v>
      </c>
      <c r="AK447" s="12">
        <v>7</v>
      </c>
      <c r="AL447" s="12">
        <v>5</v>
      </c>
      <c r="AM447" s="12">
        <v>7</v>
      </c>
      <c r="AO447" s="12">
        <v>5</v>
      </c>
      <c r="AP447" s="12">
        <v>7</v>
      </c>
      <c r="AQ447" s="12">
        <v>7</v>
      </c>
      <c r="AS447" s="12">
        <v>5</v>
      </c>
      <c r="AT447" s="12">
        <v>5</v>
      </c>
      <c r="AU447" s="12">
        <v>5</v>
      </c>
      <c r="AV447" s="12">
        <v>5</v>
      </c>
      <c r="AW447" s="12">
        <v>5</v>
      </c>
      <c r="AX447" s="12">
        <v>5</v>
      </c>
      <c r="AY447" s="12">
        <v>5</v>
      </c>
      <c r="AZ447" s="12">
        <v>5</v>
      </c>
      <c r="BA447" s="12">
        <v>5</v>
      </c>
      <c r="BB447" s="12">
        <v>5</v>
      </c>
      <c r="BC447" s="12">
        <v>5</v>
      </c>
      <c r="BD447" s="12">
        <v>5</v>
      </c>
      <c r="BE447" s="12">
        <v>5</v>
      </c>
      <c r="BF447" s="12">
        <v>5</v>
      </c>
      <c r="BG447" s="12">
        <v>5</v>
      </c>
      <c r="BH447" s="12">
        <v>5</v>
      </c>
      <c r="BI447" s="12">
        <v>5</v>
      </c>
      <c r="BJ447" s="12">
        <v>5</v>
      </c>
      <c r="BK447" s="12">
        <v>5</v>
      </c>
      <c r="BL447" s="12">
        <v>5</v>
      </c>
      <c r="BM447" s="12">
        <v>5</v>
      </c>
      <c r="BN447" s="12">
        <v>5</v>
      </c>
      <c r="BO447" s="12">
        <v>5</v>
      </c>
      <c r="BP447" s="12">
        <v>5</v>
      </c>
      <c r="BQ447" s="12">
        <v>5</v>
      </c>
      <c r="BR447" s="12">
        <v>5</v>
      </c>
      <c r="BS447" s="12">
        <v>5</v>
      </c>
      <c r="BT447" s="12">
        <v>5</v>
      </c>
      <c r="BU447" s="12">
        <v>5</v>
      </c>
      <c r="BV447" s="12">
        <v>5</v>
      </c>
      <c r="BW447" s="12">
        <v>5</v>
      </c>
      <c r="BX447" s="12">
        <v>5</v>
      </c>
      <c r="BY447" s="12">
        <v>5</v>
      </c>
      <c r="BZ447" s="12">
        <v>5</v>
      </c>
      <c r="CA447" s="12">
        <v>5</v>
      </c>
      <c r="CB447" s="12">
        <v>5</v>
      </c>
      <c r="CC447" s="12">
        <v>5</v>
      </c>
      <c r="CD447" s="12">
        <v>5</v>
      </c>
      <c r="CE447" s="12">
        <v>5</v>
      </c>
      <c r="CF447" s="12">
        <v>5</v>
      </c>
      <c r="CG447" s="12">
        <v>5</v>
      </c>
      <c r="CH447" s="12">
        <v>5</v>
      </c>
      <c r="CI447" s="12">
        <v>5</v>
      </c>
      <c r="CJ447" s="12">
        <v>5</v>
      </c>
      <c r="CK447" s="12">
        <v>5</v>
      </c>
      <c r="CL447" s="12">
        <v>5</v>
      </c>
      <c r="CN447" s="12">
        <v>5</v>
      </c>
      <c r="CO447" s="12">
        <v>5</v>
      </c>
      <c r="CP447" s="12">
        <v>5</v>
      </c>
      <c r="CQ447" s="12">
        <v>5</v>
      </c>
      <c r="CS447" s="12">
        <v>7</v>
      </c>
      <c r="CT447" s="12">
        <v>7</v>
      </c>
      <c r="CU447" s="12">
        <v>4</v>
      </c>
      <c r="CV447" s="12">
        <v>7</v>
      </c>
      <c r="CX447" s="12">
        <v>7</v>
      </c>
      <c r="CY447" s="12">
        <v>7</v>
      </c>
      <c r="CZ447" s="12">
        <v>7</v>
      </c>
      <c r="DA447" s="12">
        <v>7</v>
      </c>
      <c r="DB447" s="12">
        <v>7</v>
      </c>
      <c r="DC447" s="12">
        <v>7</v>
      </c>
      <c r="DD447" s="12">
        <v>7</v>
      </c>
      <c r="DF447" s="12">
        <v>8</v>
      </c>
    </row>
    <row r="452" spans="5:109" ht="13.35" customHeight="1" x14ac:dyDescent="0.2">
      <c r="E452" s="12" t="s">
        <v>3474</v>
      </c>
      <c r="F452" s="23">
        <v>2</v>
      </c>
      <c r="G452" s="23">
        <v>2</v>
      </c>
      <c r="H452" s="23">
        <v>2</v>
      </c>
      <c r="I452" s="23">
        <v>2</v>
      </c>
      <c r="J452" s="23">
        <v>2</v>
      </c>
      <c r="K452" s="23">
        <v>2</v>
      </c>
      <c r="L452" s="23">
        <v>1</v>
      </c>
      <c r="M452" s="23">
        <v>2</v>
      </c>
      <c r="N452" s="23">
        <v>2</v>
      </c>
      <c r="O452" s="23">
        <v>2</v>
      </c>
      <c r="P452" s="23">
        <v>2</v>
      </c>
      <c r="Q452" s="23">
        <v>2</v>
      </c>
      <c r="R452" s="23">
        <v>1</v>
      </c>
      <c r="S452" s="23">
        <v>2</v>
      </c>
      <c r="T452" s="23">
        <v>2</v>
      </c>
      <c r="U452" s="23">
        <v>2</v>
      </c>
      <c r="V452" s="23">
        <v>2</v>
      </c>
      <c r="W452" s="23">
        <v>2</v>
      </c>
      <c r="X452" s="23">
        <v>1</v>
      </c>
      <c r="Y452" s="23">
        <v>2</v>
      </c>
      <c r="Z452" s="23"/>
      <c r="AA452" s="23">
        <v>2</v>
      </c>
      <c r="AB452" s="23">
        <v>2</v>
      </c>
      <c r="AC452" s="23">
        <v>2</v>
      </c>
      <c r="AD452" s="23">
        <v>2</v>
      </c>
      <c r="AE452" s="23"/>
      <c r="AF452" s="23">
        <v>2</v>
      </c>
      <c r="AG452" s="23">
        <v>2</v>
      </c>
      <c r="AH452" s="23">
        <v>2</v>
      </c>
      <c r="AI452" s="23"/>
      <c r="AJ452" s="23">
        <v>2</v>
      </c>
      <c r="AK452" s="23">
        <v>1</v>
      </c>
      <c r="AL452" s="23">
        <v>2</v>
      </c>
      <c r="AM452" s="23">
        <v>2</v>
      </c>
      <c r="AN452" s="23"/>
      <c r="AO452" s="23">
        <v>2</v>
      </c>
      <c r="AP452" s="23">
        <v>2</v>
      </c>
      <c r="AQ452" s="23">
        <v>2</v>
      </c>
      <c r="AR452" s="23"/>
      <c r="AS452" s="23">
        <v>2</v>
      </c>
      <c r="AT452" s="23">
        <v>2</v>
      </c>
      <c r="AU452" s="23">
        <v>2</v>
      </c>
      <c r="AV452" s="23">
        <v>2</v>
      </c>
      <c r="AW452" s="23">
        <v>2</v>
      </c>
      <c r="AX452" s="23">
        <v>2</v>
      </c>
      <c r="AY452" s="23">
        <v>2</v>
      </c>
      <c r="AZ452" s="23">
        <v>2</v>
      </c>
      <c r="BA452" s="23">
        <v>2</v>
      </c>
      <c r="BB452" s="23">
        <v>2</v>
      </c>
      <c r="BC452" s="23">
        <v>2</v>
      </c>
      <c r="BD452" s="23">
        <v>2</v>
      </c>
      <c r="BE452" s="23">
        <v>2</v>
      </c>
      <c r="BF452" s="23">
        <v>2</v>
      </c>
      <c r="BG452" s="23">
        <v>2</v>
      </c>
      <c r="BH452" s="23">
        <v>2</v>
      </c>
      <c r="BI452" s="23">
        <v>2</v>
      </c>
      <c r="BJ452" s="23">
        <v>2</v>
      </c>
      <c r="BK452" s="23">
        <v>2</v>
      </c>
      <c r="BL452" s="23">
        <v>2</v>
      </c>
      <c r="BM452" s="23">
        <v>2</v>
      </c>
      <c r="BN452" s="23">
        <v>2</v>
      </c>
      <c r="BO452" s="23">
        <v>2</v>
      </c>
      <c r="BP452" s="23">
        <v>2</v>
      </c>
      <c r="BQ452" s="23">
        <v>2</v>
      </c>
      <c r="BR452" s="23">
        <v>2</v>
      </c>
      <c r="BS452" s="23">
        <v>2</v>
      </c>
      <c r="BT452" s="23">
        <v>2</v>
      </c>
      <c r="BU452" s="23">
        <v>2</v>
      </c>
      <c r="BV452" s="23">
        <v>2</v>
      </c>
      <c r="BW452" s="23">
        <v>2</v>
      </c>
      <c r="BX452" s="23">
        <v>2</v>
      </c>
      <c r="BY452" s="23">
        <v>2</v>
      </c>
      <c r="BZ452" s="23">
        <v>2</v>
      </c>
      <c r="CA452" s="23">
        <v>2</v>
      </c>
      <c r="CB452" s="23">
        <v>2</v>
      </c>
      <c r="CC452" s="23">
        <v>2</v>
      </c>
      <c r="CD452" s="23">
        <v>2</v>
      </c>
      <c r="CE452" s="23">
        <v>2</v>
      </c>
      <c r="CF452" s="23">
        <v>2</v>
      </c>
      <c r="CG452" s="23">
        <v>2</v>
      </c>
      <c r="CH452" s="23">
        <v>2</v>
      </c>
      <c r="CI452" s="23">
        <v>2</v>
      </c>
      <c r="CJ452" s="23">
        <v>2</v>
      </c>
      <c r="CK452" s="23">
        <v>2</v>
      </c>
      <c r="CL452" s="23">
        <v>2</v>
      </c>
      <c r="CM452" s="23"/>
      <c r="CN452" s="23">
        <v>2</v>
      </c>
      <c r="CO452" s="23">
        <v>2</v>
      </c>
      <c r="CP452" s="23">
        <v>2</v>
      </c>
      <c r="CQ452" s="23">
        <v>2</v>
      </c>
      <c r="CR452" s="23"/>
      <c r="CS452" s="23">
        <v>2</v>
      </c>
      <c r="CT452" s="23">
        <v>2</v>
      </c>
      <c r="CU452" s="23">
        <v>2</v>
      </c>
      <c r="CV452" s="23">
        <v>2</v>
      </c>
      <c r="CW452" s="23"/>
      <c r="CX452" s="23">
        <v>2</v>
      </c>
      <c r="CY452" s="23">
        <v>2</v>
      </c>
      <c r="CZ452" s="23">
        <v>2</v>
      </c>
      <c r="DA452" s="23">
        <v>2</v>
      </c>
      <c r="DB452" s="23">
        <v>2</v>
      </c>
      <c r="DC452" s="23">
        <v>2</v>
      </c>
      <c r="DD452" s="23">
        <v>2</v>
      </c>
      <c r="DE452" s="12">
        <f>DE6</f>
        <v>0</v>
      </c>
    </row>
    <row r="453" spans="5:109" ht="13.35" customHeight="1" x14ac:dyDescent="0.2">
      <c r="E453" s="12" t="s">
        <v>3475</v>
      </c>
      <c r="F453" s="23">
        <v>5</v>
      </c>
      <c r="G453" s="23">
        <v>4</v>
      </c>
      <c r="H453" s="23">
        <v>4</v>
      </c>
      <c r="I453" s="23">
        <v>5</v>
      </c>
      <c r="J453" s="23">
        <v>5</v>
      </c>
      <c r="K453" s="23">
        <v>5</v>
      </c>
      <c r="L453" s="23">
        <v>5</v>
      </c>
      <c r="M453" s="23">
        <v>5</v>
      </c>
      <c r="N453" s="23">
        <v>5</v>
      </c>
      <c r="O453" s="23">
        <v>5</v>
      </c>
      <c r="P453" s="23">
        <v>5</v>
      </c>
      <c r="Q453" s="23">
        <v>5</v>
      </c>
      <c r="R453" s="23">
        <v>4</v>
      </c>
      <c r="S453" s="23">
        <v>5</v>
      </c>
      <c r="T453" s="23">
        <v>6</v>
      </c>
      <c r="U453" s="23">
        <v>5</v>
      </c>
      <c r="V453" s="23">
        <v>5</v>
      </c>
      <c r="W453" s="23">
        <v>4</v>
      </c>
      <c r="X453" s="23">
        <v>2</v>
      </c>
      <c r="Y453" s="23">
        <v>4</v>
      </c>
      <c r="Z453" s="23"/>
      <c r="AA453" s="23">
        <v>5</v>
      </c>
      <c r="AB453" s="23">
        <v>5</v>
      </c>
      <c r="AC453" s="23">
        <v>5</v>
      </c>
      <c r="AD453" s="23">
        <v>5</v>
      </c>
      <c r="AE453" s="23"/>
      <c r="AF453" s="23">
        <v>5</v>
      </c>
      <c r="AG453" s="23">
        <v>5</v>
      </c>
      <c r="AH453" s="23">
        <v>5</v>
      </c>
      <c r="AI453" s="23"/>
      <c r="AJ453" s="23">
        <v>5</v>
      </c>
      <c r="AK453" s="23">
        <v>4</v>
      </c>
      <c r="AL453" s="23">
        <v>4</v>
      </c>
      <c r="AM453" s="23">
        <v>5</v>
      </c>
      <c r="AN453" s="23"/>
      <c r="AO453" s="23">
        <v>5</v>
      </c>
      <c r="AP453" s="23">
        <v>5</v>
      </c>
      <c r="AQ453" s="23">
        <v>5</v>
      </c>
      <c r="AR453" s="23"/>
      <c r="AS453" s="23">
        <v>5</v>
      </c>
      <c r="AT453" s="23">
        <v>5</v>
      </c>
      <c r="AU453" s="23">
        <v>5</v>
      </c>
      <c r="AV453" s="23">
        <v>5</v>
      </c>
      <c r="AW453" s="23">
        <v>5</v>
      </c>
      <c r="AX453" s="23">
        <v>5</v>
      </c>
      <c r="AY453" s="23">
        <v>5</v>
      </c>
      <c r="AZ453" s="23">
        <v>5</v>
      </c>
      <c r="BA453" s="23">
        <v>5</v>
      </c>
      <c r="BB453" s="23">
        <v>5</v>
      </c>
      <c r="BC453" s="23">
        <v>5</v>
      </c>
      <c r="BD453" s="23">
        <v>5</v>
      </c>
      <c r="BE453" s="23">
        <v>5</v>
      </c>
      <c r="BF453" s="23">
        <v>5</v>
      </c>
      <c r="BG453" s="23">
        <v>5</v>
      </c>
      <c r="BH453" s="23">
        <v>5</v>
      </c>
      <c r="BI453" s="23">
        <v>5</v>
      </c>
      <c r="BJ453" s="23">
        <v>5</v>
      </c>
      <c r="BK453" s="23">
        <v>5</v>
      </c>
      <c r="BL453" s="23">
        <v>5</v>
      </c>
      <c r="BM453" s="23">
        <v>5</v>
      </c>
      <c r="BN453" s="23">
        <v>5</v>
      </c>
      <c r="BO453" s="23">
        <v>5</v>
      </c>
      <c r="BP453" s="23">
        <v>5</v>
      </c>
      <c r="BQ453" s="23">
        <v>5</v>
      </c>
      <c r="BR453" s="23">
        <v>5</v>
      </c>
      <c r="BS453" s="23">
        <v>5</v>
      </c>
      <c r="BT453" s="23">
        <v>5</v>
      </c>
      <c r="BU453" s="23">
        <v>5</v>
      </c>
      <c r="BV453" s="23">
        <v>5</v>
      </c>
      <c r="BW453" s="23">
        <v>5</v>
      </c>
      <c r="BX453" s="23">
        <v>5</v>
      </c>
      <c r="BY453" s="23">
        <v>5</v>
      </c>
      <c r="BZ453" s="23">
        <v>5</v>
      </c>
      <c r="CA453" s="23">
        <v>5</v>
      </c>
      <c r="CB453" s="23">
        <v>5</v>
      </c>
      <c r="CC453" s="23">
        <v>5</v>
      </c>
      <c r="CD453" s="23">
        <v>5</v>
      </c>
      <c r="CE453" s="23">
        <v>5</v>
      </c>
      <c r="CF453" s="23">
        <v>5</v>
      </c>
      <c r="CG453" s="23">
        <v>5</v>
      </c>
      <c r="CH453" s="23">
        <v>5</v>
      </c>
      <c r="CI453" s="23">
        <v>5</v>
      </c>
      <c r="CJ453" s="23">
        <v>5</v>
      </c>
      <c r="CK453" s="23">
        <v>5</v>
      </c>
      <c r="CL453" s="23">
        <v>5</v>
      </c>
      <c r="CM453" s="23"/>
      <c r="CN453" s="23">
        <v>5</v>
      </c>
      <c r="CO453" s="23">
        <v>5</v>
      </c>
      <c r="CP453" s="23">
        <v>5</v>
      </c>
      <c r="CQ453" s="23">
        <v>5</v>
      </c>
      <c r="CR453" s="23"/>
      <c r="CS453" s="23">
        <v>5</v>
      </c>
      <c r="CT453" s="23">
        <v>5</v>
      </c>
      <c r="CU453" s="23">
        <v>5</v>
      </c>
      <c r="CV453" s="23">
        <v>4</v>
      </c>
      <c r="CW453" s="23"/>
      <c r="CX453" s="23">
        <v>5</v>
      </c>
      <c r="CY453" s="23">
        <v>5</v>
      </c>
      <c r="CZ453" s="23">
        <v>5</v>
      </c>
      <c r="DA453" s="23">
        <v>5</v>
      </c>
      <c r="DB453" s="23">
        <v>5</v>
      </c>
      <c r="DC453" s="23">
        <v>5</v>
      </c>
      <c r="DD453" s="23">
        <v>5</v>
      </c>
    </row>
    <row r="454" spans="5:109" ht="13.35" customHeight="1" x14ac:dyDescent="0.2">
      <c r="E454" s="12" t="s">
        <v>3476</v>
      </c>
      <c r="F454" s="23">
        <v>3</v>
      </c>
      <c r="G454" s="23">
        <v>3</v>
      </c>
      <c r="H454" s="23">
        <v>3</v>
      </c>
      <c r="I454" s="23">
        <v>3</v>
      </c>
      <c r="J454" s="23">
        <v>2</v>
      </c>
      <c r="K454" s="23">
        <v>2</v>
      </c>
      <c r="L454" s="23">
        <v>1</v>
      </c>
      <c r="M454" s="23">
        <v>2</v>
      </c>
      <c r="N454" s="23">
        <v>2</v>
      </c>
      <c r="O454" s="23">
        <v>2</v>
      </c>
      <c r="P454" s="23">
        <v>2</v>
      </c>
      <c r="Q454" s="23">
        <v>2</v>
      </c>
      <c r="R454" s="23">
        <v>1</v>
      </c>
      <c r="S454" s="23">
        <v>2</v>
      </c>
      <c r="T454" s="23">
        <v>3</v>
      </c>
      <c r="U454" s="23">
        <v>3</v>
      </c>
      <c r="V454" s="23">
        <v>3</v>
      </c>
      <c r="W454" s="23">
        <v>2</v>
      </c>
      <c r="X454" s="23">
        <v>1</v>
      </c>
      <c r="Y454" s="23">
        <v>1</v>
      </c>
      <c r="Z454" s="23"/>
      <c r="AA454" s="23">
        <v>2</v>
      </c>
      <c r="AB454" s="23">
        <v>2</v>
      </c>
      <c r="AC454" s="23">
        <v>3</v>
      </c>
      <c r="AD454" s="23">
        <v>3</v>
      </c>
      <c r="AE454" s="23"/>
      <c r="AF454" s="23">
        <v>1</v>
      </c>
      <c r="AG454" s="23">
        <v>2</v>
      </c>
      <c r="AH454" s="23">
        <v>3</v>
      </c>
      <c r="AI454" s="23"/>
      <c r="AJ454" s="23">
        <v>3</v>
      </c>
      <c r="AK454" s="23">
        <v>1</v>
      </c>
      <c r="AL454" s="23">
        <v>1</v>
      </c>
      <c r="AM454" s="23">
        <v>1</v>
      </c>
      <c r="AN454" s="23"/>
      <c r="AO454" s="23">
        <v>2</v>
      </c>
      <c r="AP454" s="23">
        <v>2</v>
      </c>
      <c r="AQ454" s="23">
        <v>3</v>
      </c>
      <c r="AR454" s="23"/>
      <c r="AS454" s="23">
        <v>2</v>
      </c>
      <c r="AT454" s="23">
        <v>2</v>
      </c>
      <c r="AU454" s="23">
        <v>2</v>
      </c>
      <c r="AV454" s="23">
        <v>2</v>
      </c>
      <c r="AW454" s="23">
        <v>2</v>
      </c>
      <c r="AX454" s="23">
        <v>2</v>
      </c>
      <c r="AY454" s="23">
        <v>2</v>
      </c>
      <c r="AZ454" s="23">
        <v>2</v>
      </c>
      <c r="BA454" s="23">
        <v>2</v>
      </c>
      <c r="BB454" s="23">
        <v>2</v>
      </c>
      <c r="BC454" s="23">
        <v>2</v>
      </c>
      <c r="BD454" s="23">
        <v>2</v>
      </c>
      <c r="BE454" s="23">
        <v>2</v>
      </c>
      <c r="BF454" s="23">
        <v>2</v>
      </c>
      <c r="BG454" s="23">
        <v>2</v>
      </c>
      <c r="BH454" s="23">
        <v>2</v>
      </c>
      <c r="BI454" s="23">
        <v>2</v>
      </c>
      <c r="BJ454" s="23">
        <v>2</v>
      </c>
      <c r="BK454" s="23">
        <v>2</v>
      </c>
      <c r="BL454" s="23">
        <v>2</v>
      </c>
      <c r="BM454" s="23">
        <v>2</v>
      </c>
      <c r="BN454" s="23">
        <v>2</v>
      </c>
      <c r="BO454" s="23">
        <v>2</v>
      </c>
      <c r="BP454" s="23">
        <v>2</v>
      </c>
      <c r="BQ454" s="23">
        <v>2</v>
      </c>
      <c r="BR454" s="23">
        <v>2</v>
      </c>
      <c r="BS454" s="23">
        <v>2</v>
      </c>
      <c r="BT454" s="23">
        <v>2</v>
      </c>
      <c r="BU454" s="23">
        <v>2</v>
      </c>
      <c r="BV454" s="23">
        <v>2</v>
      </c>
      <c r="BW454" s="23">
        <v>2</v>
      </c>
      <c r="BX454" s="23">
        <v>2</v>
      </c>
      <c r="BY454" s="23">
        <v>2</v>
      </c>
      <c r="BZ454" s="23">
        <v>2</v>
      </c>
      <c r="CA454" s="23">
        <v>2</v>
      </c>
      <c r="CB454" s="23">
        <v>2</v>
      </c>
      <c r="CC454" s="23">
        <v>2</v>
      </c>
      <c r="CD454" s="23">
        <v>2</v>
      </c>
      <c r="CE454" s="23">
        <v>2</v>
      </c>
      <c r="CF454" s="23">
        <v>2</v>
      </c>
      <c r="CG454" s="23">
        <v>2</v>
      </c>
      <c r="CH454" s="23">
        <v>2</v>
      </c>
      <c r="CI454" s="23">
        <v>2</v>
      </c>
      <c r="CJ454" s="23">
        <v>2</v>
      </c>
      <c r="CK454" s="23">
        <v>2</v>
      </c>
      <c r="CL454" s="23">
        <v>2</v>
      </c>
      <c r="CM454" s="23"/>
      <c r="CN454" s="23">
        <v>2</v>
      </c>
      <c r="CO454" s="23">
        <v>2</v>
      </c>
      <c r="CP454" s="23">
        <v>2</v>
      </c>
      <c r="CQ454" s="23">
        <v>2</v>
      </c>
      <c r="CR454" s="23"/>
      <c r="CS454" s="23">
        <v>4</v>
      </c>
      <c r="CT454" s="23">
        <v>2</v>
      </c>
      <c r="CU454" s="23">
        <v>1</v>
      </c>
      <c r="CV454" s="23">
        <v>2</v>
      </c>
      <c r="CW454" s="23"/>
      <c r="CX454" s="23">
        <v>3</v>
      </c>
      <c r="CY454" s="23">
        <v>2</v>
      </c>
      <c r="CZ454" s="23">
        <v>2</v>
      </c>
      <c r="DA454" s="23">
        <v>4</v>
      </c>
      <c r="DB454" s="23">
        <v>2</v>
      </c>
      <c r="DC454" s="23">
        <v>2</v>
      </c>
      <c r="DD454" s="23">
        <v>2</v>
      </c>
    </row>
    <row r="455" spans="5:109" ht="13.35" customHeight="1" x14ac:dyDescent="0.2">
      <c r="E455" s="12" t="s">
        <v>3477</v>
      </c>
      <c r="F455" s="23">
        <f t="shared" ref="F455:Y455" si="214">F454*2</f>
        <v>6</v>
      </c>
      <c r="G455" s="23">
        <f t="shared" si="214"/>
        <v>6</v>
      </c>
      <c r="H455" s="23">
        <f t="shared" si="214"/>
        <v>6</v>
      </c>
      <c r="I455" s="23">
        <f t="shared" si="214"/>
        <v>6</v>
      </c>
      <c r="J455" s="23">
        <f t="shared" si="214"/>
        <v>4</v>
      </c>
      <c r="K455" s="23">
        <f t="shared" si="214"/>
        <v>4</v>
      </c>
      <c r="L455" s="23">
        <f t="shared" si="214"/>
        <v>2</v>
      </c>
      <c r="M455" s="23">
        <f t="shared" si="214"/>
        <v>4</v>
      </c>
      <c r="N455" s="23">
        <f t="shared" si="214"/>
        <v>4</v>
      </c>
      <c r="O455" s="23">
        <f t="shared" si="214"/>
        <v>4</v>
      </c>
      <c r="P455" s="23">
        <f t="shared" si="214"/>
        <v>4</v>
      </c>
      <c r="Q455" s="23">
        <f t="shared" si="214"/>
        <v>4</v>
      </c>
      <c r="R455" s="23">
        <f t="shared" si="214"/>
        <v>2</v>
      </c>
      <c r="S455" s="23">
        <f t="shared" si="214"/>
        <v>4</v>
      </c>
      <c r="T455" s="23">
        <f t="shared" si="214"/>
        <v>6</v>
      </c>
      <c r="U455" s="23">
        <f t="shared" si="214"/>
        <v>6</v>
      </c>
      <c r="V455" s="23">
        <f t="shared" si="214"/>
        <v>6</v>
      </c>
      <c r="W455" s="23">
        <f t="shared" si="214"/>
        <v>4</v>
      </c>
      <c r="X455" s="23">
        <f t="shared" si="214"/>
        <v>2</v>
      </c>
      <c r="Y455" s="23">
        <f t="shared" si="214"/>
        <v>2</v>
      </c>
      <c r="Z455" s="23"/>
      <c r="AA455" s="23">
        <f>AA454*2</f>
        <v>4</v>
      </c>
      <c r="AB455" s="23">
        <f>AB454*2</f>
        <v>4</v>
      </c>
      <c r="AC455" s="23">
        <f>AC454*2</f>
        <v>6</v>
      </c>
      <c r="AD455" s="23">
        <f>AD454*2</f>
        <v>6</v>
      </c>
      <c r="AE455" s="23"/>
      <c r="AF455" s="23">
        <f>AF454*2</f>
        <v>2</v>
      </c>
      <c r="AG455" s="23">
        <f>AG454*2</f>
        <v>4</v>
      </c>
      <c r="AH455" s="23">
        <f>AH454*2</f>
        <v>6</v>
      </c>
      <c r="AI455" s="23"/>
      <c r="AJ455" s="23">
        <f>AJ454*2</f>
        <v>6</v>
      </c>
      <c r="AK455" s="23">
        <f>AK454*2</f>
        <v>2</v>
      </c>
      <c r="AL455" s="23">
        <f>AL454*2</f>
        <v>2</v>
      </c>
      <c r="AM455" s="23">
        <f>AM454*2</f>
        <v>2</v>
      </c>
      <c r="AN455" s="23"/>
      <c r="AO455" s="23">
        <f>AO454*2</f>
        <v>4</v>
      </c>
      <c r="AP455" s="23">
        <f>AP454*2</f>
        <v>4</v>
      </c>
      <c r="AQ455" s="23">
        <f>AQ454*2</f>
        <v>6</v>
      </c>
      <c r="AR455" s="23"/>
      <c r="AS455" s="23">
        <f t="shared" ref="AS455:BX455" si="215">AS454*2</f>
        <v>4</v>
      </c>
      <c r="AT455" s="23">
        <f t="shared" si="215"/>
        <v>4</v>
      </c>
      <c r="AU455" s="23">
        <f t="shared" si="215"/>
        <v>4</v>
      </c>
      <c r="AV455" s="23">
        <f t="shared" si="215"/>
        <v>4</v>
      </c>
      <c r="AW455" s="23">
        <f t="shared" si="215"/>
        <v>4</v>
      </c>
      <c r="AX455" s="23">
        <f t="shared" si="215"/>
        <v>4</v>
      </c>
      <c r="AY455" s="23">
        <f t="shared" si="215"/>
        <v>4</v>
      </c>
      <c r="AZ455" s="23">
        <f t="shared" si="215"/>
        <v>4</v>
      </c>
      <c r="BA455" s="23">
        <f t="shared" si="215"/>
        <v>4</v>
      </c>
      <c r="BB455" s="23">
        <f t="shared" si="215"/>
        <v>4</v>
      </c>
      <c r="BC455" s="23">
        <f t="shared" si="215"/>
        <v>4</v>
      </c>
      <c r="BD455" s="23">
        <f t="shared" si="215"/>
        <v>4</v>
      </c>
      <c r="BE455" s="23">
        <f t="shared" si="215"/>
        <v>4</v>
      </c>
      <c r="BF455" s="23">
        <f t="shared" si="215"/>
        <v>4</v>
      </c>
      <c r="BG455" s="23">
        <f t="shared" si="215"/>
        <v>4</v>
      </c>
      <c r="BH455" s="23">
        <f t="shared" si="215"/>
        <v>4</v>
      </c>
      <c r="BI455" s="23">
        <f t="shared" si="215"/>
        <v>4</v>
      </c>
      <c r="BJ455" s="23">
        <f t="shared" si="215"/>
        <v>4</v>
      </c>
      <c r="BK455" s="23">
        <f t="shared" si="215"/>
        <v>4</v>
      </c>
      <c r="BL455" s="23">
        <f t="shared" si="215"/>
        <v>4</v>
      </c>
      <c r="BM455" s="23">
        <f t="shared" si="215"/>
        <v>4</v>
      </c>
      <c r="BN455" s="23">
        <f t="shared" si="215"/>
        <v>4</v>
      </c>
      <c r="BO455" s="23">
        <f t="shared" si="215"/>
        <v>4</v>
      </c>
      <c r="BP455" s="23">
        <f t="shared" si="215"/>
        <v>4</v>
      </c>
      <c r="BQ455" s="23">
        <f t="shared" si="215"/>
        <v>4</v>
      </c>
      <c r="BR455" s="23">
        <f t="shared" si="215"/>
        <v>4</v>
      </c>
      <c r="BS455" s="23">
        <f t="shared" si="215"/>
        <v>4</v>
      </c>
      <c r="BT455" s="23">
        <f t="shared" si="215"/>
        <v>4</v>
      </c>
      <c r="BU455" s="23">
        <f t="shared" si="215"/>
        <v>4</v>
      </c>
      <c r="BV455" s="23">
        <f t="shared" si="215"/>
        <v>4</v>
      </c>
      <c r="BW455" s="23">
        <f t="shared" si="215"/>
        <v>4</v>
      </c>
      <c r="BX455" s="23">
        <f t="shared" si="215"/>
        <v>4</v>
      </c>
      <c r="BY455" s="23">
        <f t="shared" ref="BY455:CQ455" si="216">BY454*2</f>
        <v>4</v>
      </c>
      <c r="BZ455" s="23">
        <f t="shared" si="216"/>
        <v>4</v>
      </c>
      <c r="CA455" s="23">
        <f t="shared" si="216"/>
        <v>4</v>
      </c>
      <c r="CB455" s="23">
        <f t="shared" si="216"/>
        <v>4</v>
      </c>
      <c r="CC455" s="23">
        <f t="shared" si="216"/>
        <v>4</v>
      </c>
      <c r="CD455" s="23">
        <f t="shared" si="216"/>
        <v>4</v>
      </c>
      <c r="CE455" s="23">
        <f t="shared" si="216"/>
        <v>4</v>
      </c>
      <c r="CF455" s="23">
        <f t="shared" si="216"/>
        <v>4</v>
      </c>
      <c r="CG455" s="23">
        <f t="shared" si="216"/>
        <v>4</v>
      </c>
      <c r="CH455" s="23">
        <f t="shared" si="216"/>
        <v>4</v>
      </c>
      <c r="CI455" s="23">
        <f t="shared" si="216"/>
        <v>4</v>
      </c>
      <c r="CJ455" s="23">
        <f t="shared" si="216"/>
        <v>4</v>
      </c>
      <c r="CK455" s="23">
        <f t="shared" si="216"/>
        <v>4</v>
      </c>
      <c r="CL455" s="23">
        <f t="shared" si="216"/>
        <v>4</v>
      </c>
      <c r="CM455" s="23"/>
      <c r="CN455" s="23">
        <f t="shared" si="216"/>
        <v>4</v>
      </c>
      <c r="CO455" s="23">
        <f t="shared" si="216"/>
        <v>4</v>
      </c>
      <c r="CP455" s="23">
        <f t="shared" si="216"/>
        <v>4</v>
      </c>
      <c r="CQ455" s="23">
        <f t="shared" si="216"/>
        <v>4</v>
      </c>
      <c r="CR455" s="23"/>
      <c r="CS455" s="23">
        <f>CS454*2</f>
        <v>8</v>
      </c>
      <c r="CT455" s="23">
        <f>CT454*2</f>
        <v>4</v>
      </c>
      <c r="CU455" s="23">
        <f>CU454*2</f>
        <v>2</v>
      </c>
      <c r="CV455" s="23">
        <f>CV454*2</f>
        <v>4</v>
      </c>
      <c r="CW455" s="23"/>
      <c r="CX455" s="23">
        <f t="shared" ref="CX455:DD455" si="217">CX454*2</f>
        <v>6</v>
      </c>
      <c r="CY455" s="23">
        <f t="shared" si="217"/>
        <v>4</v>
      </c>
      <c r="CZ455" s="23">
        <f t="shared" si="217"/>
        <v>4</v>
      </c>
      <c r="DA455" s="23">
        <f t="shared" si="217"/>
        <v>8</v>
      </c>
      <c r="DB455" s="23">
        <f t="shared" si="217"/>
        <v>4</v>
      </c>
      <c r="DC455" s="23">
        <f t="shared" si="217"/>
        <v>4</v>
      </c>
      <c r="DD455" s="23">
        <f t="shared" si="217"/>
        <v>4</v>
      </c>
    </row>
    <row r="456" spans="5:109" ht="13.35" customHeight="1" x14ac:dyDescent="0.2">
      <c r="E456" s="12" t="s">
        <v>3478</v>
      </c>
      <c r="F456" s="23">
        <f t="shared" ref="F456:Y456" si="218">F454*3</f>
        <v>9</v>
      </c>
      <c r="G456" s="23">
        <f t="shared" si="218"/>
        <v>9</v>
      </c>
      <c r="H456" s="23">
        <f t="shared" si="218"/>
        <v>9</v>
      </c>
      <c r="I456" s="23">
        <f t="shared" si="218"/>
        <v>9</v>
      </c>
      <c r="J456" s="23">
        <f t="shared" si="218"/>
        <v>6</v>
      </c>
      <c r="K456" s="23">
        <f t="shared" si="218"/>
        <v>6</v>
      </c>
      <c r="L456" s="23">
        <f t="shared" si="218"/>
        <v>3</v>
      </c>
      <c r="M456" s="23">
        <f t="shared" si="218"/>
        <v>6</v>
      </c>
      <c r="N456" s="23">
        <f t="shared" si="218"/>
        <v>6</v>
      </c>
      <c r="O456" s="23">
        <f t="shared" si="218"/>
        <v>6</v>
      </c>
      <c r="P456" s="23">
        <f t="shared" si="218"/>
        <v>6</v>
      </c>
      <c r="Q456" s="23">
        <f t="shared" si="218"/>
        <v>6</v>
      </c>
      <c r="R456" s="23">
        <f t="shared" si="218"/>
        <v>3</v>
      </c>
      <c r="S456" s="23">
        <f t="shared" si="218"/>
        <v>6</v>
      </c>
      <c r="T456" s="23">
        <f t="shared" si="218"/>
        <v>9</v>
      </c>
      <c r="U456" s="23">
        <f t="shared" si="218"/>
        <v>9</v>
      </c>
      <c r="V456" s="23">
        <f t="shared" si="218"/>
        <v>9</v>
      </c>
      <c r="W456" s="23">
        <f t="shared" si="218"/>
        <v>6</v>
      </c>
      <c r="X456" s="23">
        <f t="shared" si="218"/>
        <v>3</v>
      </c>
      <c r="Y456" s="23">
        <f t="shared" si="218"/>
        <v>3</v>
      </c>
      <c r="Z456" s="23"/>
      <c r="AA456" s="23">
        <f>AA454*3</f>
        <v>6</v>
      </c>
      <c r="AB456" s="23">
        <f>AB454*3</f>
        <v>6</v>
      </c>
      <c r="AC456" s="23">
        <f>AC454*3</f>
        <v>9</v>
      </c>
      <c r="AD456" s="23">
        <f>AD454*3</f>
        <v>9</v>
      </c>
      <c r="AE456" s="23"/>
      <c r="AF456" s="23">
        <f>AF454*3</f>
        <v>3</v>
      </c>
      <c r="AG456" s="23">
        <f>AG454*3</f>
        <v>6</v>
      </c>
      <c r="AH456" s="23">
        <f>AH454*3</f>
        <v>9</v>
      </c>
      <c r="AI456" s="23"/>
      <c r="AJ456" s="23">
        <f>AJ454*3</f>
        <v>9</v>
      </c>
      <c r="AK456" s="23">
        <f>AK454*3</f>
        <v>3</v>
      </c>
      <c r="AL456" s="23">
        <f>AL454*3</f>
        <v>3</v>
      </c>
      <c r="AM456" s="23">
        <f>AM454*3</f>
        <v>3</v>
      </c>
      <c r="AN456" s="23"/>
      <c r="AO456" s="23">
        <f>AO454*3</f>
        <v>6</v>
      </c>
      <c r="AP456" s="23">
        <f>AP454*3</f>
        <v>6</v>
      </c>
      <c r="AQ456" s="23">
        <f>AQ454*3</f>
        <v>9</v>
      </c>
      <c r="AR456" s="23"/>
      <c r="AS456" s="23">
        <f t="shared" ref="AS456:BX456" si="219">AS454*3</f>
        <v>6</v>
      </c>
      <c r="AT456" s="23">
        <f t="shared" si="219"/>
        <v>6</v>
      </c>
      <c r="AU456" s="23">
        <f t="shared" si="219"/>
        <v>6</v>
      </c>
      <c r="AV456" s="23">
        <f t="shared" si="219"/>
        <v>6</v>
      </c>
      <c r="AW456" s="23">
        <f t="shared" si="219"/>
        <v>6</v>
      </c>
      <c r="AX456" s="23">
        <f t="shared" si="219"/>
        <v>6</v>
      </c>
      <c r="AY456" s="23">
        <f t="shared" si="219"/>
        <v>6</v>
      </c>
      <c r="AZ456" s="23">
        <f t="shared" si="219"/>
        <v>6</v>
      </c>
      <c r="BA456" s="23">
        <f t="shared" si="219"/>
        <v>6</v>
      </c>
      <c r="BB456" s="23">
        <f t="shared" si="219"/>
        <v>6</v>
      </c>
      <c r="BC456" s="23">
        <f t="shared" si="219"/>
        <v>6</v>
      </c>
      <c r="BD456" s="23">
        <f t="shared" si="219"/>
        <v>6</v>
      </c>
      <c r="BE456" s="23">
        <f t="shared" si="219"/>
        <v>6</v>
      </c>
      <c r="BF456" s="23">
        <f t="shared" si="219"/>
        <v>6</v>
      </c>
      <c r="BG456" s="23">
        <f t="shared" si="219"/>
        <v>6</v>
      </c>
      <c r="BH456" s="23">
        <f t="shared" si="219"/>
        <v>6</v>
      </c>
      <c r="BI456" s="23">
        <f t="shared" si="219"/>
        <v>6</v>
      </c>
      <c r="BJ456" s="23">
        <f t="shared" si="219"/>
        <v>6</v>
      </c>
      <c r="BK456" s="23">
        <f t="shared" si="219"/>
        <v>6</v>
      </c>
      <c r="BL456" s="23">
        <f t="shared" si="219"/>
        <v>6</v>
      </c>
      <c r="BM456" s="23">
        <f t="shared" si="219"/>
        <v>6</v>
      </c>
      <c r="BN456" s="23">
        <f t="shared" si="219"/>
        <v>6</v>
      </c>
      <c r="BO456" s="23">
        <f t="shared" si="219"/>
        <v>6</v>
      </c>
      <c r="BP456" s="23">
        <f t="shared" si="219"/>
        <v>6</v>
      </c>
      <c r="BQ456" s="23">
        <f t="shared" si="219"/>
        <v>6</v>
      </c>
      <c r="BR456" s="23">
        <f t="shared" si="219"/>
        <v>6</v>
      </c>
      <c r="BS456" s="23">
        <f t="shared" si="219"/>
        <v>6</v>
      </c>
      <c r="BT456" s="23">
        <f t="shared" si="219"/>
        <v>6</v>
      </c>
      <c r="BU456" s="23">
        <f t="shared" si="219"/>
        <v>6</v>
      </c>
      <c r="BV456" s="23">
        <f t="shared" si="219"/>
        <v>6</v>
      </c>
      <c r="BW456" s="23">
        <f t="shared" si="219"/>
        <v>6</v>
      </c>
      <c r="BX456" s="23">
        <f t="shared" si="219"/>
        <v>6</v>
      </c>
      <c r="BY456" s="23">
        <f t="shared" ref="BY456:CQ456" si="220">BY454*3</f>
        <v>6</v>
      </c>
      <c r="BZ456" s="23">
        <f t="shared" si="220"/>
        <v>6</v>
      </c>
      <c r="CA456" s="23">
        <f t="shared" si="220"/>
        <v>6</v>
      </c>
      <c r="CB456" s="23">
        <f t="shared" si="220"/>
        <v>6</v>
      </c>
      <c r="CC456" s="23">
        <f t="shared" si="220"/>
        <v>6</v>
      </c>
      <c r="CD456" s="23">
        <f t="shared" si="220"/>
        <v>6</v>
      </c>
      <c r="CE456" s="23">
        <f t="shared" si="220"/>
        <v>6</v>
      </c>
      <c r="CF456" s="23">
        <f t="shared" si="220"/>
        <v>6</v>
      </c>
      <c r="CG456" s="23">
        <f t="shared" si="220"/>
        <v>6</v>
      </c>
      <c r="CH456" s="23">
        <f t="shared" si="220"/>
        <v>6</v>
      </c>
      <c r="CI456" s="23">
        <f t="shared" si="220"/>
        <v>6</v>
      </c>
      <c r="CJ456" s="23">
        <f t="shared" si="220"/>
        <v>6</v>
      </c>
      <c r="CK456" s="23">
        <f t="shared" si="220"/>
        <v>6</v>
      </c>
      <c r="CL456" s="23">
        <f t="shared" si="220"/>
        <v>6</v>
      </c>
      <c r="CM456" s="23"/>
      <c r="CN456" s="23">
        <f t="shared" si="220"/>
        <v>6</v>
      </c>
      <c r="CO456" s="23">
        <f t="shared" si="220"/>
        <v>6</v>
      </c>
      <c r="CP456" s="23">
        <f t="shared" si="220"/>
        <v>6</v>
      </c>
      <c r="CQ456" s="23">
        <f t="shared" si="220"/>
        <v>6</v>
      </c>
      <c r="CR456" s="23"/>
      <c r="CS456" s="23">
        <f>CS454*3</f>
        <v>12</v>
      </c>
      <c r="CT456" s="23">
        <f>CT454*3</f>
        <v>6</v>
      </c>
      <c r="CU456" s="23">
        <f>CU454*3</f>
        <v>3</v>
      </c>
      <c r="CV456" s="23">
        <f>CV454*3</f>
        <v>6</v>
      </c>
      <c r="CW456" s="23"/>
      <c r="CX456" s="23">
        <f t="shared" ref="CX456:DD456" si="221">CX454*3</f>
        <v>9</v>
      </c>
      <c r="CY456" s="23">
        <f t="shared" si="221"/>
        <v>6</v>
      </c>
      <c r="CZ456" s="23">
        <f t="shared" si="221"/>
        <v>6</v>
      </c>
      <c r="DA456" s="23">
        <f t="shared" si="221"/>
        <v>12</v>
      </c>
      <c r="DB456" s="23">
        <f t="shared" si="221"/>
        <v>6</v>
      </c>
      <c r="DC456" s="23">
        <f t="shared" si="221"/>
        <v>6</v>
      </c>
      <c r="DD456" s="23">
        <f t="shared" si="221"/>
        <v>6</v>
      </c>
    </row>
    <row r="458" spans="5:109" ht="13.35" customHeight="1" x14ac:dyDescent="0.2">
      <c r="F458" s="23">
        <f>SMALL($F$452:$F$456,1)</f>
        <v>2</v>
      </c>
      <c r="G458" s="23">
        <f t="shared" ref="G458:Y458" si="222">SMALL(G452:G456,1)</f>
        <v>2</v>
      </c>
      <c r="H458" s="23">
        <f t="shared" si="222"/>
        <v>2</v>
      </c>
      <c r="I458" s="23">
        <f t="shared" si="222"/>
        <v>2</v>
      </c>
      <c r="J458" s="23">
        <f t="shared" si="222"/>
        <v>2</v>
      </c>
      <c r="K458" s="23">
        <f t="shared" si="222"/>
        <v>2</v>
      </c>
      <c r="L458" s="23">
        <f t="shared" si="222"/>
        <v>1</v>
      </c>
      <c r="M458" s="23">
        <f t="shared" si="222"/>
        <v>2</v>
      </c>
      <c r="N458" s="23">
        <f t="shared" si="222"/>
        <v>2</v>
      </c>
      <c r="O458" s="23">
        <f t="shared" si="222"/>
        <v>2</v>
      </c>
      <c r="P458" s="23">
        <f t="shared" si="222"/>
        <v>2</v>
      </c>
      <c r="Q458" s="23">
        <f t="shared" si="222"/>
        <v>2</v>
      </c>
      <c r="R458" s="23">
        <f t="shared" si="222"/>
        <v>1</v>
      </c>
      <c r="S458" s="23">
        <f t="shared" si="222"/>
        <v>2</v>
      </c>
      <c r="T458" s="23">
        <f t="shared" si="222"/>
        <v>2</v>
      </c>
      <c r="U458" s="23">
        <f t="shared" si="222"/>
        <v>2</v>
      </c>
      <c r="V458" s="23">
        <f t="shared" si="222"/>
        <v>2</v>
      </c>
      <c r="W458" s="23">
        <f t="shared" si="222"/>
        <v>2</v>
      </c>
      <c r="X458" s="23">
        <f t="shared" si="222"/>
        <v>1</v>
      </c>
      <c r="Y458" s="23">
        <f t="shared" si="222"/>
        <v>1</v>
      </c>
      <c r="Z458" s="23"/>
      <c r="AA458" s="23">
        <f>SMALL(AA452:AA456,1)</f>
        <v>2</v>
      </c>
      <c r="AB458" s="23">
        <f>SMALL(AB452:AB456,1)</f>
        <v>2</v>
      </c>
      <c r="AC458" s="23">
        <f>SMALL(AC452:AC456,1)</f>
        <v>2</v>
      </c>
      <c r="AD458" s="23">
        <f>SMALL(AD452:AD456,1)</f>
        <v>2</v>
      </c>
      <c r="AE458" s="23"/>
      <c r="AF458" s="23">
        <f>SMALL(AF452:AF456,1)</f>
        <v>1</v>
      </c>
      <c r="AG458" s="23">
        <f>SMALL(AG452:AG456,1)</f>
        <v>2</v>
      </c>
      <c r="AH458" s="23">
        <f>SMALL(AH452:AH456,1)</f>
        <v>2</v>
      </c>
      <c r="AI458" s="23"/>
      <c r="AJ458" s="23">
        <f>SMALL(AJ452:AJ456,1)</f>
        <v>2</v>
      </c>
      <c r="AK458" s="23">
        <f>SMALL(AK452:AK456,1)</f>
        <v>1</v>
      </c>
      <c r="AL458" s="23">
        <f>SMALL(AL452:AL456,1)</f>
        <v>1</v>
      </c>
      <c r="AM458" s="23">
        <f>SMALL(AM452:AM456,1)</f>
        <v>1</v>
      </c>
      <c r="AN458" s="23"/>
      <c r="AO458" s="23">
        <f>SMALL(AO452:AO456,1)</f>
        <v>2</v>
      </c>
      <c r="AP458" s="23">
        <f>SMALL(AP452:AP456,1)</f>
        <v>2</v>
      </c>
      <c r="AQ458" s="23">
        <f>SMALL(AQ452:AQ456,1)</f>
        <v>2</v>
      </c>
      <c r="AR458" s="23"/>
      <c r="AS458" s="23">
        <f t="shared" ref="AS458:BX458" si="223">SMALL(AS452:AS456,1)</f>
        <v>2</v>
      </c>
      <c r="AT458" s="23">
        <f t="shared" si="223"/>
        <v>2</v>
      </c>
      <c r="AU458" s="23">
        <f t="shared" si="223"/>
        <v>2</v>
      </c>
      <c r="AV458" s="23">
        <f t="shared" si="223"/>
        <v>2</v>
      </c>
      <c r="AW458" s="23">
        <f t="shared" si="223"/>
        <v>2</v>
      </c>
      <c r="AX458" s="23">
        <f t="shared" si="223"/>
        <v>2</v>
      </c>
      <c r="AY458" s="23">
        <f t="shared" si="223"/>
        <v>2</v>
      </c>
      <c r="AZ458" s="23">
        <f t="shared" si="223"/>
        <v>2</v>
      </c>
      <c r="BA458" s="23">
        <f t="shared" si="223"/>
        <v>2</v>
      </c>
      <c r="BB458" s="23">
        <f t="shared" si="223"/>
        <v>2</v>
      </c>
      <c r="BC458" s="23">
        <f t="shared" si="223"/>
        <v>2</v>
      </c>
      <c r="BD458" s="23">
        <f t="shared" si="223"/>
        <v>2</v>
      </c>
      <c r="BE458" s="23">
        <f t="shared" si="223"/>
        <v>2</v>
      </c>
      <c r="BF458" s="23">
        <f t="shared" si="223"/>
        <v>2</v>
      </c>
      <c r="BG458" s="23">
        <f t="shared" si="223"/>
        <v>2</v>
      </c>
      <c r="BH458" s="23">
        <f t="shared" si="223"/>
        <v>2</v>
      </c>
      <c r="BI458" s="23">
        <f t="shared" si="223"/>
        <v>2</v>
      </c>
      <c r="BJ458" s="23">
        <f t="shared" si="223"/>
        <v>2</v>
      </c>
      <c r="BK458" s="23">
        <f t="shared" si="223"/>
        <v>2</v>
      </c>
      <c r="BL458" s="23">
        <f t="shared" si="223"/>
        <v>2</v>
      </c>
      <c r="BM458" s="23">
        <f t="shared" si="223"/>
        <v>2</v>
      </c>
      <c r="BN458" s="23">
        <f t="shared" si="223"/>
        <v>2</v>
      </c>
      <c r="BO458" s="23">
        <f t="shared" si="223"/>
        <v>2</v>
      </c>
      <c r="BP458" s="23">
        <f t="shared" si="223"/>
        <v>2</v>
      </c>
      <c r="BQ458" s="23">
        <f t="shared" si="223"/>
        <v>2</v>
      </c>
      <c r="BR458" s="23">
        <f t="shared" si="223"/>
        <v>2</v>
      </c>
      <c r="BS458" s="23">
        <f t="shared" si="223"/>
        <v>2</v>
      </c>
      <c r="BT458" s="23">
        <f t="shared" si="223"/>
        <v>2</v>
      </c>
      <c r="BU458" s="23">
        <f t="shared" si="223"/>
        <v>2</v>
      </c>
      <c r="BV458" s="23">
        <f t="shared" si="223"/>
        <v>2</v>
      </c>
      <c r="BW458" s="23">
        <f t="shared" si="223"/>
        <v>2</v>
      </c>
      <c r="BX458" s="23">
        <f t="shared" si="223"/>
        <v>2</v>
      </c>
      <c r="BY458" s="23">
        <f t="shared" ref="BY458:CQ458" si="224">SMALL(BY452:BY456,1)</f>
        <v>2</v>
      </c>
      <c r="BZ458" s="23">
        <f t="shared" si="224"/>
        <v>2</v>
      </c>
      <c r="CA458" s="23">
        <f t="shared" si="224"/>
        <v>2</v>
      </c>
      <c r="CB458" s="23">
        <f t="shared" si="224"/>
        <v>2</v>
      </c>
      <c r="CC458" s="23">
        <f t="shared" si="224"/>
        <v>2</v>
      </c>
      <c r="CD458" s="23">
        <f t="shared" si="224"/>
        <v>2</v>
      </c>
      <c r="CE458" s="23">
        <f t="shared" si="224"/>
        <v>2</v>
      </c>
      <c r="CF458" s="23">
        <f t="shared" si="224"/>
        <v>2</v>
      </c>
      <c r="CG458" s="23">
        <f t="shared" si="224"/>
        <v>2</v>
      </c>
      <c r="CH458" s="23">
        <f t="shared" si="224"/>
        <v>2</v>
      </c>
      <c r="CI458" s="23">
        <f t="shared" si="224"/>
        <v>2</v>
      </c>
      <c r="CJ458" s="23">
        <f t="shared" si="224"/>
        <v>2</v>
      </c>
      <c r="CK458" s="23">
        <f t="shared" si="224"/>
        <v>2</v>
      </c>
      <c r="CL458" s="23">
        <f t="shared" si="224"/>
        <v>2</v>
      </c>
      <c r="CM458" s="23"/>
      <c r="CN458" s="23">
        <f t="shared" si="224"/>
        <v>2</v>
      </c>
      <c r="CO458" s="23">
        <f t="shared" si="224"/>
        <v>2</v>
      </c>
      <c r="CP458" s="23">
        <f t="shared" si="224"/>
        <v>2</v>
      </c>
      <c r="CQ458" s="23">
        <f t="shared" si="224"/>
        <v>2</v>
      </c>
      <c r="CR458" s="23"/>
      <c r="CS458" s="23">
        <f>SMALL(CS452:CS456,1)</f>
        <v>2</v>
      </c>
      <c r="CT458" s="23">
        <f>SMALL(CT452:CT456,1)</f>
        <v>2</v>
      </c>
      <c r="CU458" s="23">
        <f>SMALL(CU452:CU456,1)</f>
        <v>1</v>
      </c>
      <c r="CV458" s="23">
        <f>SMALL(CV452:CV456,1)</f>
        <v>2</v>
      </c>
      <c r="CW458" s="23"/>
      <c r="CX458" s="23">
        <f t="shared" ref="CX458:DD458" si="225">SMALL(CX452:CX456,1)</f>
        <v>2</v>
      </c>
      <c r="CY458" s="23">
        <f t="shared" si="225"/>
        <v>2</v>
      </c>
      <c r="CZ458" s="23">
        <f t="shared" si="225"/>
        <v>2</v>
      </c>
      <c r="DA458" s="23">
        <f t="shared" si="225"/>
        <v>2</v>
      </c>
      <c r="DB458" s="23">
        <f t="shared" si="225"/>
        <v>2</v>
      </c>
      <c r="DC458" s="23">
        <f t="shared" si="225"/>
        <v>2</v>
      </c>
      <c r="DD458" s="23">
        <f t="shared" si="225"/>
        <v>2</v>
      </c>
      <c r="DE458" s="23"/>
    </row>
    <row r="459" spans="5:109" ht="13.35" customHeight="1" x14ac:dyDescent="0.2">
      <c r="F459" s="23">
        <f t="shared" ref="F459:Y459" si="226">SMALL(F452:F456,2)</f>
        <v>3</v>
      </c>
      <c r="G459" s="23">
        <f t="shared" si="226"/>
        <v>3</v>
      </c>
      <c r="H459" s="23">
        <f t="shared" si="226"/>
        <v>3</v>
      </c>
      <c r="I459" s="23">
        <f t="shared" si="226"/>
        <v>3</v>
      </c>
      <c r="J459" s="23">
        <f t="shared" si="226"/>
        <v>2</v>
      </c>
      <c r="K459" s="23">
        <f t="shared" si="226"/>
        <v>2</v>
      </c>
      <c r="L459" s="23">
        <f t="shared" si="226"/>
        <v>1</v>
      </c>
      <c r="M459" s="23">
        <f t="shared" si="226"/>
        <v>2</v>
      </c>
      <c r="N459" s="23">
        <f t="shared" si="226"/>
        <v>2</v>
      </c>
      <c r="O459" s="23">
        <f t="shared" si="226"/>
        <v>2</v>
      </c>
      <c r="P459" s="23">
        <f t="shared" si="226"/>
        <v>2</v>
      </c>
      <c r="Q459" s="23">
        <f t="shared" si="226"/>
        <v>2</v>
      </c>
      <c r="R459" s="23">
        <f t="shared" si="226"/>
        <v>1</v>
      </c>
      <c r="S459" s="23">
        <f t="shared" si="226"/>
        <v>2</v>
      </c>
      <c r="T459" s="23">
        <f t="shared" si="226"/>
        <v>3</v>
      </c>
      <c r="U459" s="23">
        <f t="shared" si="226"/>
        <v>3</v>
      </c>
      <c r="V459" s="23">
        <f t="shared" si="226"/>
        <v>3</v>
      </c>
      <c r="W459" s="23">
        <f t="shared" si="226"/>
        <v>2</v>
      </c>
      <c r="X459" s="23">
        <f t="shared" si="226"/>
        <v>1</v>
      </c>
      <c r="Y459" s="23">
        <f t="shared" si="226"/>
        <v>2</v>
      </c>
      <c r="Z459" s="23"/>
      <c r="AA459" s="23">
        <f>SMALL(AA452:AA456,2)</f>
        <v>2</v>
      </c>
      <c r="AB459" s="23">
        <f>SMALL(AB452:AB456,2)</f>
        <v>2</v>
      </c>
      <c r="AC459" s="23">
        <f>SMALL(AC452:AC456,2)</f>
        <v>3</v>
      </c>
      <c r="AD459" s="23">
        <f>SMALL(AD452:AD456,2)</f>
        <v>3</v>
      </c>
      <c r="AE459" s="23"/>
      <c r="AF459" s="23">
        <f>SMALL(AF452:AF456,2)</f>
        <v>2</v>
      </c>
      <c r="AG459" s="23">
        <f>SMALL(AG452:AG456,2)</f>
        <v>2</v>
      </c>
      <c r="AH459" s="23">
        <f>SMALL(AH452:AH456,2)</f>
        <v>3</v>
      </c>
      <c r="AI459" s="23"/>
      <c r="AJ459" s="23">
        <f>SMALL(AJ452:AJ456,2)</f>
        <v>3</v>
      </c>
      <c r="AK459" s="23">
        <f>SMALL(AK452:AK456,2)</f>
        <v>1</v>
      </c>
      <c r="AL459" s="23">
        <f>SMALL(AL452:AL456,2)</f>
        <v>2</v>
      </c>
      <c r="AM459" s="23">
        <f>SMALL(AM452:AM456,2)</f>
        <v>2</v>
      </c>
      <c r="AN459" s="23"/>
      <c r="AO459" s="23">
        <f>SMALL(AO452:AO456,2)</f>
        <v>2</v>
      </c>
      <c r="AP459" s="23">
        <f>SMALL(AP452:AP456,2)</f>
        <v>2</v>
      </c>
      <c r="AQ459" s="23">
        <f>SMALL(AQ452:AQ456,2)</f>
        <v>3</v>
      </c>
      <c r="AR459" s="23"/>
      <c r="AS459" s="23">
        <f t="shared" ref="AS459:BX459" si="227">SMALL(AS452:AS456,2)</f>
        <v>2</v>
      </c>
      <c r="AT459" s="23">
        <f t="shared" si="227"/>
        <v>2</v>
      </c>
      <c r="AU459" s="23">
        <f t="shared" si="227"/>
        <v>2</v>
      </c>
      <c r="AV459" s="23">
        <f t="shared" si="227"/>
        <v>2</v>
      </c>
      <c r="AW459" s="23">
        <f t="shared" si="227"/>
        <v>2</v>
      </c>
      <c r="AX459" s="23">
        <f t="shared" si="227"/>
        <v>2</v>
      </c>
      <c r="AY459" s="23">
        <f t="shared" si="227"/>
        <v>2</v>
      </c>
      <c r="AZ459" s="23">
        <f t="shared" si="227"/>
        <v>2</v>
      </c>
      <c r="BA459" s="23">
        <f t="shared" si="227"/>
        <v>2</v>
      </c>
      <c r="BB459" s="23">
        <f t="shared" si="227"/>
        <v>2</v>
      </c>
      <c r="BC459" s="23">
        <f t="shared" si="227"/>
        <v>2</v>
      </c>
      <c r="BD459" s="23">
        <f t="shared" si="227"/>
        <v>2</v>
      </c>
      <c r="BE459" s="23">
        <f t="shared" si="227"/>
        <v>2</v>
      </c>
      <c r="BF459" s="23">
        <f t="shared" si="227"/>
        <v>2</v>
      </c>
      <c r="BG459" s="23">
        <f t="shared" si="227"/>
        <v>2</v>
      </c>
      <c r="BH459" s="23">
        <f t="shared" si="227"/>
        <v>2</v>
      </c>
      <c r="BI459" s="23">
        <f t="shared" si="227"/>
        <v>2</v>
      </c>
      <c r="BJ459" s="23">
        <f t="shared" si="227"/>
        <v>2</v>
      </c>
      <c r="BK459" s="23">
        <f t="shared" si="227"/>
        <v>2</v>
      </c>
      <c r="BL459" s="23">
        <f t="shared" si="227"/>
        <v>2</v>
      </c>
      <c r="BM459" s="23">
        <f t="shared" si="227"/>
        <v>2</v>
      </c>
      <c r="BN459" s="23">
        <f t="shared" si="227"/>
        <v>2</v>
      </c>
      <c r="BO459" s="23">
        <f t="shared" si="227"/>
        <v>2</v>
      </c>
      <c r="BP459" s="23">
        <f t="shared" si="227"/>
        <v>2</v>
      </c>
      <c r="BQ459" s="23">
        <f t="shared" si="227"/>
        <v>2</v>
      </c>
      <c r="BR459" s="23">
        <f t="shared" si="227"/>
        <v>2</v>
      </c>
      <c r="BS459" s="23">
        <f t="shared" si="227"/>
        <v>2</v>
      </c>
      <c r="BT459" s="23">
        <f t="shared" si="227"/>
        <v>2</v>
      </c>
      <c r="BU459" s="23">
        <f t="shared" si="227"/>
        <v>2</v>
      </c>
      <c r="BV459" s="23">
        <f t="shared" si="227"/>
        <v>2</v>
      </c>
      <c r="BW459" s="23">
        <f t="shared" si="227"/>
        <v>2</v>
      </c>
      <c r="BX459" s="23">
        <f t="shared" si="227"/>
        <v>2</v>
      </c>
      <c r="BY459" s="23">
        <f t="shared" ref="BY459:CQ459" si="228">SMALL(BY452:BY456,2)</f>
        <v>2</v>
      </c>
      <c r="BZ459" s="23">
        <f t="shared" si="228"/>
        <v>2</v>
      </c>
      <c r="CA459" s="23">
        <f t="shared" si="228"/>
        <v>2</v>
      </c>
      <c r="CB459" s="23">
        <f t="shared" si="228"/>
        <v>2</v>
      </c>
      <c r="CC459" s="23">
        <f t="shared" si="228"/>
        <v>2</v>
      </c>
      <c r="CD459" s="23">
        <f t="shared" si="228"/>
        <v>2</v>
      </c>
      <c r="CE459" s="23">
        <f t="shared" si="228"/>
        <v>2</v>
      </c>
      <c r="CF459" s="23">
        <f t="shared" si="228"/>
        <v>2</v>
      </c>
      <c r="CG459" s="23">
        <f t="shared" si="228"/>
        <v>2</v>
      </c>
      <c r="CH459" s="23">
        <f t="shared" si="228"/>
        <v>2</v>
      </c>
      <c r="CI459" s="23">
        <f t="shared" si="228"/>
        <v>2</v>
      </c>
      <c r="CJ459" s="23">
        <f t="shared" si="228"/>
        <v>2</v>
      </c>
      <c r="CK459" s="23">
        <f t="shared" si="228"/>
        <v>2</v>
      </c>
      <c r="CL459" s="23">
        <f t="shared" si="228"/>
        <v>2</v>
      </c>
      <c r="CM459" s="23"/>
      <c r="CN459" s="23">
        <f t="shared" si="228"/>
        <v>2</v>
      </c>
      <c r="CO459" s="23">
        <f t="shared" si="228"/>
        <v>2</v>
      </c>
      <c r="CP459" s="23">
        <f t="shared" si="228"/>
        <v>2</v>
      </c>
      <c r="CQ459" s="23">
        <f t="shared" si="228"/>
        <v>2</v>
      </c>
      <c r="CR459" s="23"/>
      <c r="CS459" s="23">
        <f>SMALL(CS452:CS456,2)</f>
        <v>4</v>
      </c>
      <c r="CT459" s="23">
        <f>SMALL(CT452:CT456,2)</f>
        <v>2</v>
      </c>
      <c r="CU459" s="23">
        <f>SMALL(CU452:CU456,2)</f>
        <v>2</v>
      </c>
      <c r="CV459" s="23">
        <f>SMALL(CV452:CV456,2)</f>
        <v>2</v>
      </c>
      <c r="CW459" s="23"/>
      <c r="CX459" s="23">
        <f t="shared" ref="CX459:DD459" si="229">SMALL(CX452:CX456,2)</f>
        <v>3</v>
      </c>
      <c r="CY459" s="23">
        <f t="shared" si="229"/>
        <v>2</v>
      </c>
      <c r="CZ459" s="23">
        <f t="shared" si="229"/>
        <v>2</v>
      </c>
      <c r="DA459" s="23">
        <f t="shared" si="229"/>
        <v>4</v>
      </c>
      <c r="DB459" s="23">
        <f t="shared" si="229"/>
        <v>2</v>
      </c>
      <c r="DC459" s="23">
        <f t="shared" si="229"/>
        <v>2</v>
      </c>
      <c r="DD459" s="23">
        <f t="shared" si="229"/>
        <v>2</v>
      </c>
      <c r="DE459" s="23"/>
    </row>
    <row r="460" spans="5:109" ht="13.35" customHeight="1" x14ac:dyDescent="0.2">
      <c r="F460" s="23">
        <f t="shared" ref="F460:Y460" si="230">SMALL(F452:F456,3)</f>
        <v>5</v>
      </c>
      <c r="G460" s="23">
        <f t="shared" si="230"/>
        <v>4</v>
      </c>
      <c r="H460" s="23">
        <f t="shared" si="230"/>
        <v>4</v>
      </c>
      <c r="I460" s="23">
        <f t="shared" si="230"/>
        <v>5</v>
      </c>
      <c r="J460" s="23">
        <f t="shared" si="230"/>
        <v>4</v>
      </c>
      <c r="K460" s="23">
        <f t="shared" si="230"/>
        <v>4</v>
      </c>
      <c r="L460" s="23">
        <f t="shared" si="230"/>
        <v>2</v>
      </c>
      <c r="M460" s="23">
        <f t="shared" si="230"/>
        <v>4</v>
      </c>
      <c r="N460" s="23">
        <f t="shared" si="230"/>
        <v>4</v>
      </c>
      <c r="O460" s="23">
        <f t="shared" si="230"/>
        <v>4</v>
      </c>
      <c r="P460" s="23">
        <f t="shared" si="230"/>
        <v>4</v>
      </c>
      <c r="Q460" s="23">
        <f t="shared" si="230"/>
        <v>4</v>
      </c>
      <c r="R460" s="23">
        <f t="shared" si="230"/>
        <v>2</v>
      </c>
      <c r="S460" s="23">
        <f t="shared" si="230"/>
        <v>4</v>
      </c>
      <c r="T460" s="23">
        <f t="shared" si="230"/>
        <v>6</v>
      </c>
      <c r="U460" s="23">
        <f t="shared" si="230"/>
        <v>5</v>
      </c>
      <c r="V460" s="23">
        <f t="shared" si="230"/>
        <v>5</v>
      </c>
      <c r="W460" s="23">
        <f t="shared" si="230"/>
        <v>4</v>
      </c>
      <c r="X460" s="23">
        <f t="shared" si="230"/>
        <v>2</v>
      </c>
      <c r="Y460" s="23">
        <f t="shared" si="230"/>
        <v>2</v>
      </c>
      <c r="Z460" s="23"/>
      <c r="AA460" s="23">
        <f>SMALL(AA452:AA456,3)</f>
        <v>4</v>
      </c>
      <c r="AB460" s="23">
        <f>SMALL(AB452:AB456,3)</f>
        <v>4</v>
      </c>
      <c r="AC460" s="23">
        <f>SMALL(AC452:AC456,3)</f>
        <v>5</v>
      </c>
      <c r="AD460" s="23">
        <f>SMALL(AD452:AD456,3)</f>
        <v>5</v>
      </c>
      <c r="AE460" s="23"/>
      <c r="AF460" s="23">
        <f>SMALL(AF452:AF456,3)</f>
        <v>2</v>
      </c>
      <c r="AG460" s="23">
        <f>SMALL(AG452:AG456,3)</f>
        <v>4</v>
      </c>
      <c r="AH460" s="23">
        <f>SMALL(AH452:AH456,3)</f>
        <v>5</v>
      </c>
      <c r="AI460" s="23"/>
      <c r="AJ460" s="23">
        <f>SMALL(AJ452:AJ456,3)</f>
        <v>5</v>
      </c>
      <c r="AK460" s="23">
        <f>SMALL(AK452:AK456,3)</f>
        <v>2</v>
      </c>
      <c r="AL460" s="23">
        <f>SMALL(AL452:AL456,3)</f>
        <v>2</v>
      </c>
      <c r="AM460" s="23">
        <f>SMALL(AM452:AM456,3)</f>
        <v>2</v>
      </c>
      <c r="AN460" s="23"/>
      <c r="AO460" s="23">
        <f>SMALL(AO452:AO456,3)</f>
        <v>4</v>
      </c>
      <c r="AP460" s="23">
        <f>SMALL(AP452:AP456,3)</f>
        <v>4</v>
      </c>
      <c r="AQ460" s="23">
        <f>SMALL(AQ452:AQ456,3)</f>
        <v>5</v>
      </c>
      <c r="AR460" s="23"/>
      <c r="AS460" s="23">
        <f t="shared" ref="AS460:BX460" si="231">SMALL(AS452:AS456,3)</f>
        <v>4</v>
      </c>
      <c r="AT460" s="23">
        <f t="shared" si="231"/>
        <v>4</v>
      </c>
      <c r="AU460" s="23">
        <f t="shared" si="231"/>
        <v>4</v>
      </c>
      <c r="AV460" s="23">
        <f t="shared" si="231"/>
        <v>4</v>
      </c>
      <c r="AW460" s="23">
        <f t="shared" si="231"/>
        <v>4</v>
      </c>
      <c r="AX460" s="23">
        <f t="shared" si="231"/>
        <v>4</v>
      </c>
      <c r="AY460" s="23">
        <f t="shared" si="231"/>
        <v>4</v>
      </c>
      <c r="AZ460" s="23">
        <f t="shared" si="231"/>
        <v>4</v>
      </c>
      <c r="BA460" s="23">
        <f t="shared" si="231"/>
        <v>4</v>
      </c>
      <c r="BB460" s="23">
        <f t="shared" si="231"/>
        <v>4</v>
      </c>
      <c r="BC460" s="23">
        <f t="shared" si="231"/>
        <v>4</v>
      </c>
      <c r="BD460" s="23">
        <f t="shared" si="231"/>
        <v>4</v>
      </c>
      <c r="BE460" s="23">
        <f t="shared" si="231"/>
        <v>4</v>
      </c>
      <c r="BF460" s="23">
        <f t="shared" si="231"/>
        <v>4</v>
      </c>
      <c r="BG460" s="23">
        <f t="shared" si="231"/>
        <v>4</v>
      </c>
      <c r="BH460" s="23">
        <f t="shared" si="231"/>
        <v>4</v>
      </c>
      <c r="BI460" s="23">
        <f t="shared" si="231"/>
        <v>4</v>
      </c>
      <c r="BJ460" s="23">
        <f t="shared" si="231"/>
        <v>4</v>
      </c>
      <c r="BK460" s="23">
        <f t="shared" si="231"/>
        <v>4</v>
      </c>
      <c r="BL460" s="23">
        <f t="shared" si="231"/>
        <v>4</v>
      </c>
      <c r="BM460" s="23">
        <f t="shared" si="231"/>
        <v>4</v>
      </c>
      <c r="BN460" s="23">
        <f t="shared" si="231"/>
        <v>4</v>
      </c>
      <c r="BO460" s="23">
        <f t="shared" si="231"/>
        <v>4</v>
      </c>
      <c r="BP460" s="23">
        <f t="shared" si="231"/>
        <v>4</v>
      </c>
      <c r="BQ460" s="23">
        <f t="shared" si="231"/>
        <v>4</v>
      </c>
      <c r="BR460" s="23">
        <f t="shared" si="231"/>
        <v>4</v>
      </c>
      <c r="BS460" s="23">
        <f t="shared" si="231"/>
        <v>4</v>
      </c>
      <c r="BT460" s="23">
        <f t="shared" si="231"/>
        <v>4</v>
      </c>
      <c r="BU460" s="23">
        <f t="shared" si="231"/>
        <v>4</v>
      </c>
      <c r="BV460" s="23">
        <f t="shared" si="231"/>
        <v>4</v>
      </c>
      <c r="BW460" s="23">
        <f t="shared" si="231"/>
        <v>4</v>
      </c>
      <c r="BX460" s="23">
        <f t="shared" si="231"/>
        <v>4</v>
      </c>
      <c r="BY460" s="23">
        <f t="shared" ref="BY460:CQ460" si="232">SMALL(BY452:BY456,3)</f>
        <v>4</v>
      </c>
      <c r="BZ460" s="23">
        <f t="shared" si="232"/>
        <v>4</v>
      </c>
      <c r="CA460" s="23">
        <f t="shared" si="232"/>
        <v>4</v>
      </c>
      <c r="CB460" s="23">
        <f t="shared" si="232"/>
        <v>4</v>
      </c>
      <c r="CC460" s="23">
        <f t="shared" si="232"/>
        <v>4</v>
      </c>
      <c r="CD460" s="23">
        <f t="shared" si="232"/>
        <v>4</v>
      </c>
      <c r="CE460" s="23">
        <f t="shared" si="232"/>
        <v>4</v>
      </c>
      <c r="CF460" s="23">
        <f t="shared" si="232"/>
        <v>4</v>
      </c>
      <c r="CG460" s="23">
        <f t="shared" si="232"/>
        <v>4</v>
      </c>
      <c r="CH460" s="23">
        <f t="shared" si="232"/>
        <v>4</v>
      </c>
      <c r="CI460" s="23">
        <f t="shared" si="232"/>
        <v>4</v>
      </c>
      <c r="CJ460" s="23">
        <f t="shared" si="232"/>
        <v>4</v>
      </c>
      <c r="CK460" s="23">
        <f t="shared" si="232"/>
        <v>4</v>
      </c>
      <c r="CL460" s="23">
        <f t="shared" si="232"/>
        <v>4</v>
      </c>
      <c r="CM460" s="23"/>
      <c r="CN460" s="23">
        <f t="shared" si="232"/>
        <v>4</v>
      </c>
      <c r="CO460" s="23">
        <f t="shared" si="232"/>
        <v>4</v>
      </c>
      <c r="CP460" s="23">
        <f t="shared" si="232"/>
        <v>4</v>
      </c>
      <c r="CQ460" s="23">
        <f t="shared" si="232"/>
        <v>4</v>
      </c>
      <c r="CR460" s="23"/>
      <c r="CS460" s="23">
        <f>SMALL(CS452:CS456,3)</f>
        <v>5</v>
      </c>
      <c r="CT460" s="23">
        <f>SMALL(CT452:CT456,3)</f>
        <v>4</v>
      </c>
      <c r="CU460" s="23">
        <f>SMALL(CU452:CU456,3)</f>
        <v>2</v>
      </c>
      <c r="CV460" s="23">
        <f>SMALL(CV452:CV456,3)</f>
        <v>4</v>
      </c>
      <c r="CW460" s="23"/>
      <c r="CX460" s="23">
        <f t="shared" ref="CX460:DD460" si="233">SMALL(CX452:CX456,3)</f>
        <v>5</v>
      </c>
      <c r="CY460" s="23">
        <f t="shared" si="233"/>
        <v>4</v>
      </c>
      <c r="CZ460" s="23">
        <f t="shared" si="233"/>
        <v>4</v>
      </c>
      <c r="DA460" s="23">
        <f t="shared" si="233"/>
        <v>5</v>
      </c>
      <c r="DB460" s="23">
        <f t="shared" si="233"/>
        <v>4</v>
      </c>
      <c r="DC460" s="23">
        <f t="shared" si="233"/>
        <v>4</v>
      </c>
      <c r="DD460" s="23">
        <f t="shared" si="233"/>
        <v>4</v>
      </c>
      <c r="DE460" s="23"/>
    </row>
    <row r="461" spans="5:109" ht="13.35" customHeight="1" x14ac:dyDescent="0.2">
      <c r="F461" s="23">
        <f t="shared" ref="F461:Y461" si="234">SMALL(F452:F456,4)</f>
        <v>6</v>
      </c>
      <c r="G461" s="23">
        <f t="shared" si="234"/>
        <v>6</v>
      </c>
      <c r="H461" s="23">
        <f t="shared" si="234"/>
        <v>6</v>
      </c>
      <c r="I461" s="23">
        <f t="shared" si="234"/>
        <v>6</v>
      </c>
      <c r="J461" s="23">
        <f t="shared" si="234"/>
        <v>5</v>
      </c>
      <c r="K461" s="23">
        <f t="shared" si="234"/>
        <v>5</v>
      </c>
      <c r="L461" s="23">
        <f t="shared" si="234"/>
        <v>3</v>
      </c>
      <c r="M461" s="23">
        <f t="shared" si="234"/>
        <v>5</v>
      </c>
      <c r="N461" s="23">
        <f t="shared" si="234"/>
        <v>5</v>
      </c>
      <c r="O461" s="23">
        <f t="shared" si="234"/>
        <v>5</v>
      </c>
      <c r="P461" s="23">
        <f t="shared" si="234"/>
        <v>5</v>
      </c>
      <c r="Q461" s="23">
        <f t="shared" si="234"/>
        <v>5</v>
      </c>
      <c r="R461" s="23">
        <f t="shared" si="234"/>
        <v>3</v>
      </c>
      <c r="S461" s="23">
        <f t="shared" si="234"/>
        <v>5</v>
      </c>
      <c r="T461" s="23">
        <f t="shared" si="234"/>
        <v>6</v>
      </c>
      <c r="U461" s="23">
        <f t="shared" si="234"/>
        <v>6</v>
      </c>
      <c r="V461" s="23">
        <f t="shared" si="234"/>
        <v>6</v>
      </c>
      <c r="W461" s="23">
        <f t="shared" si="234"/>
        <v>4</v>
      </c>
      <c r="X461" s="23">
        <f t="shared" si="234"/>
        <v>2</v>
      </c>
      <c r="Y461" s="23">
        <f t="shared" si="234"/>
        <v>3</v>
      </c>
      <c r="Z461" s="23"/>
      <c r="AA461" s="23">
        <f>SMALL(AA452:AA456,4)</f>
        <v>5</v>
      </c>
      <c r="AB461" s="23">
        <f>SMALL(AB452:AB456,4)</f>
        <v>5</v>
      </c>
      <c r="AC461" s="23">
        <f>SMALL(AC452:AC456,4)</f>
        <v>6</v>
      </c>
      <c r="AD461" s="23">
        <f>SMALL(AD452:AD456,4)</f>
        <v>6</v>
      </c>
      <c r="AE461" s="23"/>
      <c r="AF461" s="23">
        <f>SMALL(AF452:AF456,4)</f>
        <v>3</v>
      </c>
      <c r="AG461" s="23">
        <f>SMALL(AG452:AG456,4)</f>
        <v>5</v>
      </c>
      <c r="AH461" s="23">
        <f>SMALL(AH452:AH456,4)</f>
        <v>6</v>
      </c>
      <c r="AI461" s="23"/>
      <c r="AJ461" s="23">
        <f>SMALL(AJ452:AJ456,4)</f>
        <v>6</v>
      </c>
      <c r="AK461" s="23">
        <f>SMALL(AK452:AK456,4)</f>
        <v>3</v>
      </c>
      <c r="AL461" s="23">
        <f>SMALL(AL452:AL456,4)</f>
        <v>3</v>
      </c>
      <c r="AM461" s="23">
        <f>SMALL(AM452:AM456,4)</f>
        <v>3</v>
      </c>
      <c r="AN461" s="23"/>
      <c r="AO461" s="23">
        <f>SMALL(AO452:AO456,4)</f>
        <v>5</v>
      </c>
      <c r="AP461" s="23">
        <f>SMALL(AP452:AP456,4)</f>
        <v>5</v>
      </c>
      <c r="AQ461" s="23">
        <f>SMALL(AQ452:AQ456,4)</f>
        <v>6</v>
      </c>
      <c r="AR461" s="23"/>
      <c r="AS461" s="23">
        <f t="shared" ref="AS461:BX461" si="235">SMALL(AS452:AS456,4)</f>
        <v>5</v>
      </c>
      <c r="AT461" s="23">
        <f t="shared" si="235"/>
        <v>5</v>
      </c>
      <c r="AU461" s="23">
        <f t="shared" si="235"/>
        <v>5</v>
      </c>
      <c r="AV461" s="23">
        <f t="shared" si="235"/>
        <v>5</v>
      </c>
      <c r="AW461" s="23">
        <f t="shared" si="235"/>
        <v>5</v>
      </c>
      <c r="AX461" s="23">
        <f t="shared" si="235"/>
        <v>5</v>
      </c>
      <c r="AY461" s="23">
        <f t="shared" si="235"/>
        <v>5</v>
      </c>
      <c r="AZ461" s="23">
        <f t="shared" si="235"/>
        <v>5</v>
      </c>
      <c r="BA461" s="23">
        <f t="shared" si="235"/>
        <v>5</v>
      </c>
      <c r="BB461" s="23">
        <f t="shared" si="235"/>
        <v>5</v>
      </c>
      <c r="BC461" s="23">
        <f t="shared" si="235"/>
        <v>5</v>
      </c>
      <c r="BD461" s="23">
        <f t="shared" si="235"/>
        <v>5</v>
      </c>
      <c r="BE461" s="23">
        <f t="shared" si="235"/>
        <v>5</v>
      </c>
      <c r="BF461" s="23">
        <f t="shared" si="235"/>
        <v>5</v>
      </c>
      <c r="BG461" s="23">
        <f t="shared" si="235"/>
        <v>5</v>
      </c>
      <c r="BH461" s="23">
        <f t="shared" si="235"/>
        <v>5</v>
      </c>
      <c r="BI461" s="23">
        <f t="shared" si="235"/>
        <v>5</v>
      </c>
      <c r="BJ461" s="23">
        <f t="shared" si="235"/>
        <v>5</v>
      </c>
      <c r="BK461" s="23">
        <f t="shared" si="235"/>
        <v>5</v>
      </c>
      <c r="BL461" s="23">
        <f t="shared" si="235"/>
        <v>5</v>
      </c>
      <c r="BM461" s="23">
        <f t="shared" si="235"/>
        <v>5</v>
      </c>
      <c r="BN461" s="23">
        <f t="shared" si="235"/>
        <v>5</v>
      </c>
      <c r="BO461" s="23">
        <f t="shared" si="235"/>
        <v>5</v>
      </c>
      <c r="BP461" s="23">
        <f t="shared" si="235"/>
        <v>5</v>
      </c>
      <c r="BQ461" s="23">
        <f t="shared" si="235"/>
        <v>5</v>
      </c>
      <c r="BR461" s="23">
        <f t="shared" si="235"/>
        <v>5</v>
      </c>
      <c r="BS461" s="23">
        <f t="shared" si="235"/>
        <v>5</v>
      </c>
      <c r="BT461" s="23">
        <f t="shared" si="235"/>
        <v>5</v>
      </c>
      <c r="BU461" s="23">
        <f t="shared" si="235"/>
        <v>5</v>
      </c>
      <c r="BV461" s="23">
        <f t="shared" si="235"/>
        <v>5</v>
      </c>
      <c r="BW461" s="23">
        <f t="shared" si="235"/>
        <v>5</v>
      </c>
      <c r="BX461" s="23">
        <f t="shared" si="235"/>
        <v>5</v>
      </c>
      <c r="BY461" s="23">
        <f t="shared" ref="BY461:CQ461" si="236">SMALL(BY452:BY456,4)</f>
        <v>5</v>
      </c>
      <c r="BZ461" s="23">
        <f t="shared" si="236"/>
        <v>5</v>
      </c>
      <c r="CA461" s="23">
        <f t="shared" si="236"/>
        <v>5</v>
      </c>
      <c r="CB461" s="23">
        <f t="shared" si="236"/>
        <v>5</v>
      </c>
      <c r="CC461" s="23">
        <f t="shared" si="236"/>
        <v>5</v>
      </c>
      <c r="CD461" s="23">
        <f t="shared" si="236"/>
        <v>5</v>
      </c>
      <c r="CE461" s="23">
        <f t="shared" si="236"/>
        <v>5</v>
      </c>
      <c r="CF461" s="23">
        <f t="shared" si="236"/>
        <v>5</v>
      </c>
      <c r="CG461" s="23">
        <f t="shared" si="236"/>
        <v>5</v>
      </c>
      <c r="CH461" s="23">
        <f t="shared" si="236"/>
        <v>5</v>
      </c>
      <c r="CI461" s="23">
        <f t="shared" si="236"/>
        <v>5</v>
      </c>
      <c r="CJ461" s="23">
        <f t="shared" si="236"/>
        <v>5</v>
      </c>
      <c r="CK461" s="23">
        <f t="shared" si="236"/>
        <v>5</v>
      </c>
      <c r="CL461" s="23">
        <f t="shared" si="236"/>
        <v>5</v>
      </c>
      <c r="CM461" s="23"/>
      <c r="CN461" s="23">
        <f t="shared" si="236"/>
        <v>5</v>
      </c>
      <c r="CO461" s="23">
        <f t="shared" si="236"/>
        <v>5</v>
      </c>
      <c r="CP461" s="23">
        <f t="shared" si="236"/>
        <v>5</v>
      </c>
      <c r="CQ461" s="23">
        <f t="shared" si="236"/>
        <v>5</v>
      </c>
      <c r="CR461" s="23"/>
      <c r="CS461" s="23">
        <f>SMALL(CS452:CS456,4)</f>
        <v>8</v>
      </c>
      <c r="CT461" s="23">
        <f>SMALL(CT452:CT456,4)</f>
        <v>5</v>
      </c>
      <c r="CU461" s="23">
        <f>SMALL(CU452:CU456,4)</f>
        <v>3</v>
      </c>
      <c r="CV461" s="23">
        <f>SMALL(CV452:CV456,4)</f>
        <v>4</v>
      </c>
      <c r="CW461" s="23"/>
      <c r="CX461" s="23">
        <f t="shared" ref="CX461:DD461" si="237">SMALL(CX452:CX456,4)</f>
        <v>6</v>
      </c>
      <c r="CY461" s="23">
        <f t="shared" si="237"/>
        <v>5</v>
      </c>
      <c r="CZ461" s="23">
        <f t="shared" si="237"/>
        <v>5</v>
      </c>
      <c r="DA461" s="23">
        <f t="shared" si="237"/>
        <v>8</v>
      </c>
      <c r="DB461" s="23">
        <f t="shared" si="237"/>
        <v>5</v>
      </c>
      <c r="DC461" s="23">
        <f t="shared" si="237"/>
        <v>5</v>
      </c>
      <c r="DD461" s="23">
        <f t="shared" si="237"/>
        <v>5</v>
      </c>
      <c r="DE461" s="23"/>
    </row>
    <row r="462" spans="5:109" ht="13.35" customHeight="1" x14ac:dyDescent="0.2">
      <c r="F462" s="23">
        <f t="shared" ref="F462:Y462" si="238">SMALL(F452:F456,5)</f>
        <v>9</v>
      </c>
      <c r="G462" s="23">
        <f t="shared" si="238"/>
        <v>9</v>
      </c>
      <c r="H462" s="23">
        <f t="shared" si="238"/>
        <v>9</v>
      </c>
      <c r="I462" s="23">
        <f t="shared" si="238"/>
        <v>9</v>
      </c>
      <c r="J462" s="23">
        <f t="shared" si="238"/>
        <v>6</v>
      </c>
      <c r="K462" s="23">
        <f t="shared" si="238"/>
        <v>6</v>
      </c>
      <c r="L462" s="23">
        <f t="shared" si="238"/>
        <v>5</v>
      </c>
      <c r="M462" s="23">
        <f t="shared" si="238"/>
        <v>6</v>
      </c>
      <c r="N462" s="23">
        <f t="shared" si="238"/>
        <v>6</v>
      </c>
      <c r="O462" s="23">
        <f t="shared" si="238"/>
        <v>6</v>
      </c>
      <c r="P462" s="23">
        <f t="shared" si="238"/>
        <v>6</v>
      </c>
      <c r="Q462" s="23">
        <f t="shared" si="238"/>
        <v>6</v>
      </c>
      <c r="R462" s="23">
        <f t="shared" si="238"/>
        <v>4</v>
      </c>
      <c r="S462" s="23">
        <f t="shared" si="238"/>
        <v>6</v>
      </c>
      <c r="T462" s="23">
        <f t="shared" si="238"/>
        <v>9</v>
      </c>
      <c r="U462" s="23">
        <f t="shared" si="238"/>
        <v>9</v>
      </c>
      <c r="V462" s="23">
        <f t="shared" si="238"/>
        <v>9</v>
      </c>
      <c r="W462" s="23">
        <f t="shared" si="238"/>
        <v>6</v>
      </c>
      <c r="X462" s="23">
        <f t="shared" si="238"/>
        <v>3</v>
      </c>
      <c r="Y462" s="23">
        <f t="shared" si="238"/>
        <v>4</v>
      </c>
      <c r="Z462" s="23"/>
      <c r="AA462" s="23">
        <f>SMALL(AA452:AA456,5)</f>
        <v>6</v>
      </c>
      <c r="AB462" s="23">
        <f>SMALL(AB452:AB456,5)</f>
        <v>6</v>
      </c>
      <c r="AC462" s="23">
        <f>SMALL(AC452:AC456,5)</f>
        <v>9</v>
      </c>
      <c r="AD462" s="23">
        <f>SMALL(AD452:AD456,5)</f>
        <v>9</v>
      </c>
      <c r="AE462" s="23"/>
      <c r="AF462" s="23">
        <f>SMALL(AF452:AF456,5)</f>
        <v>5</v>
      </c>
      <c r="AG462" s="23">
        <f>SMALL(AG452:AG456,5)</f>
        <v>6</v>
      </c>
      <c r="AH462" s="23">
        <f>SMALL(AH452:AH456,5)</f>
        <v>9</v>
      </c>
      <c r="AI462" s="23"/>
      <c r="AJ462" s="23">
        <f>SMALL(AJ452:AJ456,5)</f>
        <v>9</v>
      </c>
      <c r="AK462" s="23">
        <f>SMALL(AK452:AK456,5)</f>
        <v>4</v>
      </c>
      <c r="AL462" s="23">
        <f>SMALL(AL452:AL456,5)</f>
        <v>4</v>
      </c>
      <c r="AM462" s="23">
        <f>SMALL(AM452:AM456,5)</f>
        <v>5</v>
      </c>
      <c r="AN462" s="23"/>
      <c r="AO462" s="23">
        <f>SMALL(AO452:AO456,5)</f>
        <v>6</v>
      </c>
      <c r="AP462" s="23">
        <f>SMALL(AP452:AP456,5)</f>
        <v>6</v>
      </c>
      <c r="AQ462" s="23">
        <f>SMALL(AQ452:AQ456,5)</f>
        <v>9</v>
      </c>
      <c r="AR462" s="23"/>
      <c r="AS462" s="23">
        <f t="shared" ref="AS462:BX462" si="239">SMALL(AS452:AS456,5)</f>
        <v>6</v>
      </c>
      <c r="AT462" s="23">
        <f t="shared" si="239"/>
        <v>6</v>
      </c>
      <c r="AU462" s="23">
        <f t="shared" si="239"/>
        <v>6</v>
      </c>
      <c r="AV462" s="23">
        <f t="shared" si="239"/>
        <v>6</v>
      </c>
      <c r="AW462" s="23">
        <f t="shared" si="239"/>
        <v>6</v>
      </c>
      <c r="AX462" s="23">
        <f t="shared" si="239"/>
        <v>6</v>
      </c>
      <c r="AY462" s="23">
        <f t="shared" si="239"/>
        <v>6</v>
      </c>
      <c r="AZ462" s="23">
        <f t="shared" si="239"/>
        <v>6</v>
      </c>
      <c r="BA462" s="23">
        <f t="shared" si="239"/>
        <v>6</v>
      </c>
      <c r="BB462" s="23">
        <f t="shared" si="239"/>
        <v>6</v>
      </c>
      <c r="BC462" s="23">
        <f t="shared" si="239"/>
        <v>6</v>
      </c>
      <c r="BD462" s="23">
        <f t="shared" si="239"/>
        <v>6</v>
      </c>
      <c r="BE462" s="23">
        <f t="shared" si="239"/>
        <v>6</v>
      </c>
      <c r="BF462" s="23">
        <f t="shared" si="239"/>
        <v>6</v>
      </c>
      <c r="BG462" s="23">
        <f t="shared" si="239"/>
        <v>6</v>
      </c>
      <c r="BH462" s="23">
        <f t="shared" si="239"/>
        <v>6</v>
      </c>
      <c r="BI462" s="23">
        <f t="shared" si="239"/>
        <v>6</v>
      </c>
      <c r="BJ462" s="23">
        <f t="shared" si="239"/>
        <v>6</v>
      </c>
      <c r="BK462" s="23">
        <f t="shared" si="239"/>
        <v>6</v>
      </c>
      <c r="BL462" s="23">
        <f t="shared" si="239"/>
        <v>6</v>
      </c>
      <c r="BM462" s="23">
        <f t="shared" si="239"/>
        <v>6</v>
      </c>
      <c r="BN462" s="23">
        <f t="shared" si="239"/>
        <v>6</v>
      </c>
      <c r="BO462" s="23">
        <f t="shared" si="239"/>
        <v>6</v>
      </c>
      <c r="BP462" s="23">
        <f t="shared" si="239"/>
        <v>6</v>
      </c>
      <c r="BQ462" s="23">
        <f t="shared" si="239"/>
        <v>6</v>
      </c>
      <c r="BR462" s="23">
        <f t="shared" si="239"/>
        <v>6</v>
      </c>
      <c r="BS462" s="23">
        <f t="shared" si="239"/>
        <v>6</v>
      </c>
      <c r="BT462" s="23">
        <f t="shared" si="239"/>
        <v>6</v>
      </c>
      <c r="BU462" s="23">
        <f t="shared" si="239"/>
        <v>6</v>
      </c>
      <c r="BV462" s="23">
        <f t="shared" si="239"/>
        <v>6</v>
      </c>
      <c r="BW462" s="23">
        <f t="shared" si="239"/>
        <v>6</v>
      </c>
      <c r="BX462" s="23">
        <f t="shared" si="239"/>
        <v>6</v>
      </c>
      <c r="BY462" s="23">
        <f t="shared" ref="BY462:CQ462" si="240">SMALL(BY452:BY456,5)</f>
        <v>6</v>
      </c>
      <c r="BZ462" s="23">
        <f t="shared" si="240"/>
        <v>6</v>
      </c>
      <c r="CA462" s="23">
        <f t="shared" si="240"/>
        <v>6</v>
      </c>
      <c r="CB462" s="23">
        <f t="shared" si="240"/>
        <v>6</v>
      </c>
      <c r="CC462" s="23">
        <f t="shared" si="240"/>
        <v>6</v>
      </c>
      <c r="CD462" s="23">
        <f t="shared" si="240"/>
        <v>6</v>
      </c>
      <c r="CE462" s="23">
        <f t="shared" si="240"/>
        <v>6</v>
      </c>
      <c r="CF462" s="23">
        <f t="shared" si="240"/>
        <v>6</v>
      </c>
      <c r="CG462" s="23">
        <f t="shared" si="240"/>
        <v>6</v>
      </c>
      <c r="CH462" s="23">
        <f t="shared" si="240"/>
        <v>6</v>
      </c>
      <c r="CI462" s="23">
        <f t="shared" si="240"/>
        <v>6</v>
      </c>
      <c r="CJ462" s="23">
        <f t="shared" si="240"/>
        <v>6</v>
      </c>
      <c r="CK462" s="23">
        <f t="shared" si="240"/>
        <v>6</v>
      </c>
      <c r="CL462" s="23">
        <f t="shared" si="240"/>
        <v>6</v>
      </c>
      <c r="CM462" s="23"/>
      <c r="CN462" s="23">
        <f t="shared" si="240"/>
        <v>6</v>
      </c>
      <c r="CO462" s="23">
        <f t="shared" si="240"/>
        <v>6</v>
      </c>
      <c r="CP462" s="23">
        <f t="shared" si="240"/>
        <v>6</v>
      </c>
      <c r="CQ462" s="23">
        <f t="shared" si="240"/>
        <v>6</v>
      </c>
      <c r="CR462" s="23"/>
      <c r="CS462" s="23">
        <f>SMALL(CS452:CS456,5)</f>
        <v>12</v>
      </c>
      <c r="CT462" s="23">
        <f>SMALL(CT452:CT456,5)</f>
        <v>6</v>
      </c>
      <c r="CU462" s="23">
        <f>SMALL(CU452:CU456,5)</f>
        <v>5</v>
      </c>
      <c r="CV462" s="23">
        <f>SMALL(CV452:CV456,5)</f>
        <v>6</v>
      </c>
      <c r="CW462" s="23"/>
      <c r="CX462" s="23">
        <f t="shared" ref="CX462:DD462" si="241">SMALL(CX452:CX456,5)</f>
        <v>9</v>
      </c>
      <c r="CY462" s="23">
        <f t="shared" si="241"/>
        <v>6</v>
      </c>
      <c r="CZ462" s="23">
        <f t="shared" si="241"/>
        <v>6</v>
      </c>
      <c r="DA462" s="23">
        <f t="shared" si="241"/>
        <v>12</v>
      </c>
      <c r="DB462" s="23">
        <f t="shared" si="241"/>
        <v>6</v>
      </c>
      <c r="DC462" s="23">
        <f t="shared" si="241"/>
        <v>6</v>
      </c>
      <c r="DD462" s="23">
        <f t="shared" si="241"/>
        <v>6</v>
      </c>
      <c r="DE462" s="23"/>
    </row>
  </sheetData>
  <sheetProtection selectLockedCells="1" selectUnlockedCells="1"/>
  <dataConsolidate/>
  <hyperlinks>
    <hyperlink ref="B263" r:id="rId1" xr:uid="{00000000-0004-0000-0400-000000000000}"/>
    <hyperlink ref="B264" r:id="rId2" xr:uid="{00000000-0004-0000-0400-000001000000}"/>
    <hyperlink ref="B266" r:id="rId3" xr:uid="{00000000-0004-0000-0400-000002000000}"/>
    <hyperlink ref="B267" r:id="rId4" xr:uid="{00000000-0004-0000-0400-000003000000}"/>
    <hyperlink ref="B268" r:id="rId5" xr:uid="{00000000-0004-0000-0400-000004000000}"/>
    <hyperlink ref="B269" r:id="rId6" xr:uid="{00000000-0004-0000-0400-000005000000}"/>
    <hyperlink ref="B270" r:id="rId7" xr:uid="{00000000-0004-0000-0400-000006000000}"/>
    <hyperlink ref="B271" r:id="rId8" xr:uid="{00000000-0004-0000-0400-000007000000}"/>
    <hyperlink ref="B272" r:id="rId9" xr:uid="{00000000-0004-0000-0400-000008000000}"/>
    <hyperlink ref="B273" r:id="rId10" xr:uid="{00000000-0004-0000-0400-000009000000}"/>
    <hyperlink ref="B274" r:id="rId11" xr:uid="{00000000-0004-0000-0400-00000A000000}"/>
    <hyperlink ref="B275" r:id="rId12" xr:uid="{00000000-0004-0000-0400-00000B000000}"/>
    <hyperlink ref="B276" r:id="rId13" xr:uid="{00000000-0004-0000-0400-00000C000000}"/>
    <hyperlink ref="B277" r:id="rId14" xr:uid="{00000000-0004-0000-0400-00000D000000}"/>
    <hyperlink ref="B278" r:id="rId15" xr:uid="{00000000-0004-0000-0400-00000E000000}"/>
    <hyperlink ref="B279" r:id="rId16" xr:uid="{00000000-0004-0000-0400-00000F000000}"/>
    <hyperlink ref="B280" r:id="rId17" xr:uid="{00000000-0004-0000-0400-000010000000}"/>
    <hyperlink ref="B281" r:id="rId18" xr:uid="{00000000-0004-0000-0400-000011000000}"/>
    <hyperlink ref="B282" r:id="rId19" xr:uid="{00000000-0004-0000-0400-000012000000}"/>
    <hyperlink ref="B283" r:id="rId20" xr:uid="{00000000-0004-0000-0400-000013000000}"/>
    <hyperlink ref="B284" r:id="rId21" xr:uid="{00000000-0004-0000-0400-000014000000}"/>
    <hyperlink ref="B285" r:id="rId22" xr:uid="{00000000-0004-0000-0400-000015000000}"/>
    <hyperlink ref="B286" r:id="rId23" xr:uid="{00000000-0004-0000-0400-000016000000}"/>
    <hyperlink ref="B287" r:id="rId24" xr:uid="{00000000-0004-0000-0400-000017000000}"/>
    <hyperlink ref="B288" r:id="rId25" xr:uid="{00000000-0004-0000-0400-000018000000}"/>
    <hyperlink ref="B289" r:id="rId26" xr:uid="{00000000-0004-0000-0400-000019000000}"/>
    <hyperlink ref="B290" r:id="rId27" xr:uid="{00000000-0004-0000-0400-00001A000000}"/>
    <hyperlink ref="B291" r:id="rId28" xr:uid="{00000000-0004-0000-0400-00001B000000}"/>
    <hyperlink ref="B292" r:id="rId29" xr:uid="{00000000-0004-0000-0400-00001C000000}"/>
    <hyperlink ref="B293" r:id="rId30" xr:uid="{00000000-0004-0000-0400-00001D000000}"/>
    <hyperlink ref="B294" r:id="rId31" xr:uid="{00000000-0004-0000-0400-00001E000000}"/>
    <hyperlink ref="B295" r:id="rId32" xr:uid="{00000000-0004-0000-0400-00001F000000}"/>
    <hyperlink ref="B296" r:id="rId33" xr:uid="{00000000-0004-0000-0400-000020000000}"/>
    <hyperlink ref="B297" r:id="rId34" xr:uid="{00000000-0004-0000-0400-000021000000}"/>
    <hyperlink ref="B299" r:id="rId35" xr:uid="{00000000-0004-0000-0400-000022000000}"/>
    <hyperlink ref="B265" r:id="rId36" xr:uid="{00000000-0004-0000-0400-000023000000}"/>
  </hyperlinks>
  <pageMargins left="0.78749999999999998" right="0.78749999999999998" top="1.0527777777777778" bottom="1.0527777777777778" header="0.78749999999999998" footer="0.78749999999999998"/>
  <pageSetup paperSize="9" firstPageNumber="0" orientation="portrait" horizontalDpi="300" verticalDpi="300" r:id="rId37"/>
  <headerFooter alignWithMargins="0">
    <oddHeader>&amp;C&amp;"Times New Roman,Normaali"&amp;12&amp;A</oddHeader>
    <oddFooter>&amp;C&amp;"Times New Roman,Normaali"&amp;12Sivu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6F71DA-35DB-4F4C-A968-588D4430768F}">
  <dimension ref="A1:EN204"/>
  <sheetViews>
    <sheetView topLeftCell="BZ1" zoomScaleNormal="100" workbookViewId="0">
      <selection activeCell="CM54" sqref="CM54"/>
    </sheetView>
  </sheetViews>
  <sheetFormatPr defaultRowHeight="12.75" x14ac:dyDescent="0.2"/>
  <cols>
    <col min="1" max="1" width="11.28515625" bestFit="1" customWidth="1"/>
    <col min="2" max="2" width="15.140625" bestFit="1" customWidth="1"/>
    <col min="3" max="23" width="4.5703125" customWidth="1"/>
    <col min="26" max="26" width="14" customWidth="1"/>
    <col min="28" max="28" width="10.7109375" customWidth="1"/>
    <col min="29" max="29" width="9.5703125" customWidth="1"/>
    <col min="30" max="30" width="10" customWidth="1"/>
    <col min="32" max="32" width="9.28515625" customWidth="1"/>
    <col min="33" max="33" width="9.140625" customWidth="1"/>
    <col min="34" max="34" width="7.28515625" customWidth="1"/>
    <col min="35" max="35" width="9.140625" customWidth="1"/>
    <col min="36" max="136" width="10" customWidth="1"/>
  </cols>
  <sheetData>
    <row r="1" spans="1:138" x14ac:dyDescent="0.2">
      <c r="A1">
        <v>0</v>
      </c>
      <c r="B1">
        <v>1</v>
      </c>
      <c r="C1">
        <v>2</v>
      </c>
      <c r="D1">
        <v>3</v>
      </c>
      <c r="E1">
        <v>4</v>
      </c>
      <c r="F1">
        <v>5</v>
      </c>
      <c r="G1">
        <v>6</v>
      </c>
      <c r="H1">
        <v>7</v>
      </c>
      <c r="I1">
        <v>8</v>
      </c>
      <c r="J1">
        <v>9</v>
      </c>
      <c r="K1">
        <v>10</v>
      </c>
      <c r="L1">
        <v>11</v>
      </c>
      <c r="M1">
        <v>12</v>
      </c>
      <c r="N1">
        <v>13</v>
      </c>
      <c r="O1">
        <v>14</v>
      </c>
      <c r="P1">
        <v>15</v>
      </c>
      <c r="Q1">
        <v>16</v>
      </c>
      <c r="R1">
        <v>17</v>
      </c>
      <c r="S1">
        <v>18</v>
      </c>
      <c r="T1">
        <v>19</v>
      </c>
      <c r="U1">
        <v>20</v>
      </c>
      <c r="V1">
        <v>21</v>
      </c>
      <c r="W1">
        <v>22</v>
      </c>
      <c r="X1">
        <v>23</v>
      </c>
      <c r="Z1" s="12" t="s">
        <v>4653</v>
      </c>
      <c r="AA1" s="12">
        <v>2</v>
      </c>
      <c r="AB1" s="12">
        <v>3</v>
      </c>
      <c r="AC1" s="12">
        <v>4</v>
      </c>
      <c r="AD1" s="12">
        <v>5</v>
      </c>
      <c r="AE1" s="12">
        <v>6</v>
      </c>
      <c r="AF1" s="12">
        <v>7</v>
      </c>
      <c r="AG1" s="12">
        <v>8</v>
      </c>
      <c r="AH1" s="12">
        <v>9</v>
      </c>
      <c r="AJ1" s="12"/>
      <c r="AK1" s="12">
        <v>2</v>
      </c>
      <c r="AL1" s="12">
        <v>3</v>
      </c>
      <c r="AM1" s="12">
        <v>4</v>
      </c>
      <c r="AN1" s="12">
        <v>5</v>
      </c>
      <c r="AO1" s="12">
        <v>6</v>
      </c>
      <c r="AP1" s="12">
        <v>7</v>
      </c>
      <c r="AQ1" s="12">
        <v>8</v>
      </c>
      <c r="AR1" s="12">
        <v>9</v>
      </c>
      <c r="AS1" s="12">
        <v>10</v>
      </c>
      <c r="AT1" s="12">
        <v>11</v>
      </c>
      <c r="AU1" s="12">
        <v>12</v>
      </c>
      <c r="AV1" s="12">
        <v>13</v>
      </c>
      <c r="AW1" s="12">
        <v>14</v>
      </c>
      <c r="AX1" s="12">
        <v>15</v>
      </c>
      <c r="AY1" s="12">
        <v>16</v>
      </c>
      <c r="AZ1" s="12">
        <v>17</v>
      </c>
      <c r="BA1" s="12">
        <v>18</v>
      </c>
      <c r="BB1" s="12">
        <v>19</v>
      </c>
      <c r="BC1" s="12">
        <v>20</v>
      </c>
      <c r="BD1" s="12">
        <v>21</v>
      </c>
      <c r="BE1" s="12">
        <v>22</v>
      </c>
      <c r="BF1" s="12">
        <v>23</v>
      </c>
      <c r="BG1" s="12">
        <v>24</v>
      </c>
      <c r="BH1" s="12">
        <v>25</v>
      </c>
      <c r="BI1" s="12">
        <v>26</v>
      </c>
      <c r="BJ1" s="12">
        <v>27</v>
      </c>
      <c r="BK1" s="12">
        <v>28</v>
      </c>
      <c r="BL1" s="12">
        <v>29</v>
      </c>
      <c r="BM1" s="12">
        <v>30</v>
      </c>
      <c r="BN1" s="12">
        <v>31</v>
      </c>
      <c r="BO1" s="12">
        <v>32</v>
      </c>
      <c r="BP1" s="12">
        <v>33</v>
      </c>
      <c r="BQ1" s="12">
        <v>34</v>
      </c>
      <c r="BR1" s="12">
        <v>35</v>
      </c>
      <c r="BS1" s="12">
        <v>36</v>
      </c>
      <c r="BT1" s="12">
        <v>37</v>
      </c>
      <c r="BU1" s="12">
        <v>38</v>
      </c>
      <c r="BV1" s="12">
        <v>39</v>
      </c>
      <c r="BW1" s="12">
        <v>39</v>
      </c>
      <c r="BX1" s="12">
        <v>39</v>
      </c>
      <c r="BY1" s="12">
        <v>39</v>
      </c>
      <c r="BZ1" s="12">
        <v>39</v>
      </c>
      <c r="CA1" s="12">
        <v>39</v>
      </c>
      <c r="CB1" s="12">
        <v>39</v>
      </c>
      <c r="CC1" s="12">
        <v>39</v>
      </c>
      <c r="CD1" s="12">
        <v>39</v>
      </c>
      <c r="CE1" s="12">
        <v>39</v>
      </c>
      <c r="CF1" s="12">
        <v>39</v>
      </c>
      <c r="CG1" s="12">
        <v>39</v>
      </c>
      <c r="CH1" s="12">
        <v>39</v>
      </c>
      <c r="CI1" s="12">
        <v>39</v>
      </c>
      <c r="CJ1" s="12">
        <v>39</v>
      </c>
      <c r="CK1" s="12">
        <v>39</v>
      </c>
      <c r="CL1" s="12">
        <v>39</v>
      </c>
      <c r="CM1" s="12">
        <v>39</v>
      </c>
      <c r="CN1" s="12">
        <v>39</v>
      </c>
      <c r="CO1" s="12">
        <v>39</v>
      </c>
      <c r="CP1" s="12">
        <v>39</v>
      </c>
      <c r="CQ1" s="12">
        <v>39</v>
      </c>
      <c r="CR1" s="12">
        <v>39</v>
      </c>
      <c r="CS1" s="12">
        <v>39</v>
      </c>
      <c r="CT1" s="12">
        <v>39</v>
      </c>
      <c r="CU1" s="12">
        <v>39</v>
      </c>
      <c r="CV1" s="12">
        <v>39</v>
      </c>
      <c r="CW1" s="12">
        <v>39</v>
      </c>
      <c r="CX1" s="12">
        <v>39</v>
      </c>
      <c r="CY1" s="12">
        <v>39</v>
      </c>
      <c r="CZ1" s="12">
        <v>39</v>
      </c>
      <c r="DA1" s="12">
        <v>39</v>
      </c>
      <c r="DB1" s="12">
        <v>39</v>
      </c>
      <c r="DC1" s="12">
        <v>39</v>
      </c>
      <c r="DD1" s="12">
        <v>39</v>
      </c>
      <c r="DE1" s="12">
        <v>39</v>
      </c>
      <c r="DF1" s="12">
        <v>39</v>
      </c>
      <c r="DG1" s="12">
        <v>39</v>
      </c>
      <c r="DH1" s="12">
        <v>39</v>
      </c>
      <c r="DI1" s="12">
        <v>39</v>
      </c>
      <c r="DJ1" s="12">
        <v>39</v>
      </c>
      <c r="DK1" s="12">
        <v>39</v>
      </c>
      <c r="DL1" s="12">
        <v>39</v>
      </c>
      <c r="DM1" s="12">
        <v>39</v>
      </c>
      <c r="DN1" s="12">
        <v>39</v>
      </c>
      <c r="DO1" s="12">
        <v>39</v>
      </c>
      <c r="DP1" s="12">
        <v>39</v>
      </c>
      <c r="DQ1" s="12">
        <v>39</v>
      </c>
      <c r="DR1" s="12">
        <v>39</v>
      </c>
      <c r="DS1" s="12">
        <v>39</v>
      </c>
      <c r="DT1" s="12">
        <v>39</v>
      </c>
      <c r="DU1" s="12">
        <v>39</v>
      </c>
      <c r="DV1" s="12">
        <v>39</v>
      </c>
      <c r="DW1" s="12">
        <v>39</v>
      </c>
      <c r="DX1" s="12">
        <v>39</v>
      </c>
      <c r="DY1" s="12">
        <v>39</v>
      </c>
      <c r="DZ1" s="12">
        <v>39</v>
      </c>
      <c r="EA1" s="12">
        <v>39</v>
      </c>
      <c r="EB1" s="12">
        <v>39</v>
      </c>
      <c r="EC1" s="12">
        <v>39</v>
      </c>
      <c r="ED1" s="12">
        <v>39</v>
      </c>
      <c r="EE1" s="12">
        <v>39</v>
      </c>
      <c r="EF1" s="12">
        <v>39</v>
      </c>
    </row>
    <row r="2" spans="1:138" x14ac:dyDescent="0.2">
      <c r="A2" s="78" t="s">
        <v>4048</v>
      </c>
      <c r="B2" s="20" t="s">
        <v>206</v>
      </c>
      <c r="C2" s="12" t="s">
        <v>426</v>
      </c>
      <c r="D2" s="12" t="s">
        <v>389</v>
      </c>
      <c r="E2" s="12" t="s">
        <v>859</v>
      </c>
      <c r="F2" s="12" t="s">
        <v>399</v>
      </c>
      <c r="G2" s="12" t="s">
        <v>413</v>
      </c>
      <c r="H2" s="12" t="s">
        <v>384</v>
      </c>
      <c r="I2" s="12" t="s">
        <v>432</v>
      </c>
      <c r="J2" s="12" t="s">
        <v>409</v>
      </c>
      <c r="K2" s="12" t="s">
        <v>462</v>
      </c>
      <c r="L2" s="12" t="s">
        <v>445</v>
      </c>
      <c r="M2" s="12" t="s">
        <v>860</v>
      </c>
      <c r="N2" s="12" t="s">
        <v>861</v>
      </c>
      <c r="O2" s="12" t="s">
        <v>862</v>
      </c>
      <c r="P2" s="12" t="s">
        <v>863</v>
      </c>
      <c r="Q2" s="12" t="s">
        <v>864</v>
      </c>
      <c r="R2" s="12" t="s">
        <v>865</v>
      </c>
      <c r="S2" s="12" t="s">
        <v>866</v>
      </c>
      <c r="T2" s="12" t="s">
        <v>867</v>
      </c>
      <c r="U2" s="12" t="s">
        <v>185</v>
      </c>
      <c r="V2" s="12" t="s">
        <v>4650</v>
      </c>
      <c r="W2" s="12" t="s">
        <v>4921</v>
      </c>
      <c r="X2" s="12" t="s">
        <v>4652</v>
      </c>
      <c r="Z2" s="12" t="s">
        <v>206</v>
      </c>
      <c r="AA2" s="12" t="s">
        <v>240</v>
      </c>
      <c r="AB2" s="12" t="s">
        <v>241</v>
      </c>
      <c r="AC2" s="12" t="s">
        <v>242</v>
      </c>
      <c r="AD2" s="12" t="s">
        <v>868</v>
      </c>
      <c r="AE2" s="12" t="s">
        <v>869</v>
      </c>
      <c r="AF2" s="12" t="s">
        <v>870</v>
      </c>
      <c r="AG2" s="12" t="s">
        <v>871</v>
      </c>
      <c r="AH2" s="12" t="s">
        <v>487</v>
      </c>
      <c r="AJ2" s="12" t="s">
        <v>4624</v>
      </c>
      <c r="AK2" s="77" t="s">
        <v>4626</v>
      </c>
      <c r="AL2" s="77" t="s">
        <v>4627</v>
      </c>
      <c r="AM2" s="77" t="s">
        <v>4628</v>
      </c>
      <c r="AN2" s="77" t="s">
        <v>4629</v>
      </c>
      <c r="AO2" s="77" t="s">
        <v>4630</v>
      </c>
      <c r="AP2" s="77" t="s">
        <v>4631</v>
      </c>
      <c r="AQ2" s="77" t="s">
        <v>4632</v>
      </c>
      <c r="AR2" s="77" t="s">
        <v>4633</v>
      </c>
      <c r="AS2" s="77" t="s">
        <v>4634</v>
      </c>
      <c r="AT2" s="77" t="s">
        <v>4635</v>
      </c>
      <c r="AU2" s="77" t="s">
        <v>4636</v>
      </c>
      <c r="AV2" s="77" t="s">
        <v>4637</v>
      </c>
      <c r="AW2" s="77" t="s">
        <v>4638</v>
      </c>
      <c r="AX2" s="77" t="s">
        <v>4639</v>
      </c>
      <c r="AY2" s="77" t="s">
        <v>4640</v>
      </c>
      <c r="AZ2" s="77" t="s">
        <v>4641</v>
      </c>
      <c r="BA2" s="77" t="s">
        <v>4642</v>
      </c>
      <c r="BB2" s="77" t="s">
        <v>4643</v>
      </c>
      <c r="BC2" s="77" t="s">
        <v>4644</v>
      </c>
      <c r="BD2" s="77" t="s">
        <v>4645</v>
      </c>
      <c r="BE2" s="77" t="s">
        <v>4646</v>
      </c>
      <c r="BF2" s="77" t="s">
        <v>4647</v>
      </c>
      <c r="BG2" s="77" t="s">
        <v>4648</v>
      </c>
      <c r="BH2" s="77" t="s">
        <v>4663</v>
      </c>
      <c r="BI2" s="77" t="s">
        <v>4664</v>
      </c>
      <c r="BJ2" s="77" t="s">
        <v>4665</v>
      </c>
      <c r="BK2" s="77" t="s">
        <v>4666</v>
      </c>
      <c r="BL2" s="77" t="s">
        <v>4667</v>
      </c>
      <c r="BM2" s="77" t="s">
        <v>4668</v>
      </c>
      <c r="BN2" s="77" t="s">
        <v>4669</v>
      </c>
      <c r="BO2" s="77" t="s">
        <v>4670</v>
      </c>
      <c r="BP2" s="77" t="s">
        <v>4671</v>
      </c>
      <c r="BQ2" s="77" t="s">
        <v>4672</v>
      </c>
      <c r="BR2" s="77" t="s">
        <v>4673</v>
      </c>
      <c r="BS2" s="77" t="s">
        <v>4674</v>
      </c>
      <c r="BT2" s="77" t="s">
        <v>4675</v>
      </c>
      <c r="BU2" s="77" t="s">
        <v>4676</v>
      </c>
      <c r="BV2" s="77" t="s">
        <v>4677</v>
      </c>
      <c r="BW2" s="86" t="s">
        <v>4678</v>
      </c>
      <c r="BX2" s="86" t="s">
        <v>4679</v>
      </c>
      <c r="BY2" s="86" t="s">
        <v>4680</v>
      </c>
      <c r="BZ2" s="86" t="s">
        <v>4681</v>
      </c>
      <c r="CA2" s="67" t="s">
        <v>4682</v>
      </c>
      <c r="CB2" s="86" t="s">
        <v>4683</v>
      </c>
      <c r="CC2" s="86" t="s">
        <v>4684</v>
      </c>
      <c r="CD2" s="86" t="s">
        <v>4685</v>
      </c>
      <c r="CE2" s="86" t="s">
        <v>4686</v>
      </c>
      <c r="CF2" s="86" t="s">
        <v>4687</v>
      </c>
      <c r="CG2" s="67" t="s">
        <v>4688</v>
      </c>
      <c r="CH2" s="67" t="s">
        <v>4689</v>
      </c>
      <c r="CI2" s="67" t="s">
        <v>4690</v>
      </c>
      <c r="CJ2" s="86" t="s">
        <v>4691</v>
      </c>
      <c r="CK2" s="86" t="s">
        <v>5472</v>
      </c>
      <c r="CL2" s="86" t="s">
        <v>4692</v>
      </c>
      <c r="CM2" s="86" t="s">
        <v>4693</v>
      </c>
      <c r="CN2" s="86" t="s">
        <v>4694</v>
      </c>
      <c r="CO2" s="86" t="s">
        <v>4695</v>
      </c>
      <c r="CP2" s="86" t="s">
        <v>4696</v>
      </c>
      <c r="CQ2" s="86" t="s">
        <v>4697</v>
      </c>
      <c r="CR2" s="86" t="s">
        <v>4698</v>
      </c>
      <c r="CS2" s="86" t="s">
        <v>4699</v>
      </c>
      <c r="CT2" s="86" t="s">
        <v>4700</v>
      </c>
      <c r="CU2" s="86" t="s">
        <v>4701</v>
      </c>
      <c r="CV2" s="86" t="s">
        <v>4702</v>
      </c>
      <c r="CW2" s="86" t="s">
        <v>4703</v>
      </c>
      <c r="CX2" s="86" t="s">
        <v>4704</v>
      </c>
      <c r="CY2" s="86" t="s">
        <v>4705</v>
      </c>
      <c r="CZ2" s="86" t="s">
        <v>4706</v>
      </c>
      <c r="DA2" s="86" t="s">
        <v>4707</v>
      </c>
      <c r="DB2" s="86" t="s">
        <v>4708</v>
      </c>
      <c r="DC2" s="86" t="s">
        <v>4709</v>
      </c>
      <c r="DD2" s="86" t="s">
        <v>4710</v>
      </c>
      <c r="DE2" s="86" t="s">
        <v>4711</v>
      </c>
      <c r="DF2" s="86" t="s">
        <v>4712</v>
      </c>
      <c r="DG2" s="86" t="s">
        <v>4713</v>
      </c>
      <c r="DH2" s="86" t="s">
        <v>4714</v>
      </c>
      <c r="DI2" s="86" t="s">
        <v>4715</v>
      </c>
      <c r="DJ2" s="86" t="s">
        <v>4716</v>
      </c>
      <c r="DK2" s="86" t="s">
        <v>4717</v>
      </c>
      <c r="DL2" s="86" t="s">
        <v>4718</v>
      </c>
      <c r="DM2" s="67" t="s">
        <v>4719</v>
      </c>
      <c r="DN2" s="86" t="s">
        <v>4720</v>
      </c>
      <c r="DO2" s="86" t="s">
        <v>4721</v>
      </c>
      <c r="DP2" s="86" t="s">
        <v>4722</v>
      </c>
      <c r="DQ2" s="86" t="s">
        <v>4723</v>
      </c>
      <c r="DR2" s="86" t="s">
        <v>4724</v>
      </c>
      <c r="DS2" s="86" t="s">
        <v>4725</v>
      </c>
      <c r="DT2" s="86" t="s">
        <v>4726</v>
      </c>
      <c r="DU2" s="86" t="s">
        <v>4727</v>
      </c>
      <c r="DV2" s="86" t="s">
        <v>4728</v>
      </c>
      <c r="DW2" s="86" t="s">
        <v>4729</v>
      </c>
      <c r="DX2" s="86" t="s">
        <v>4730</v>
      </c>
      <c r="DY2" s="86" t="s">
        <v>4731</v>
      </c>
      <c r="DZ2" s="67" t="s">
        <v>4734</v>
      </c>
      <c r="EA2" s="67" t="s">
        <v>4735</v>
      </c>
      <c r="EB2" s="67" t="s">
        <v>4736</v>
      </c>
      <c r="EC2" s="67" t="s">
        <v>4737</v>
      </c>
      <c r="ED2" s="67" t="s">
        <v>4738</v>
      </c>
      <c r="EE2" s="67" t="s">
        <v>4739</v>
      </c>
      <c r="EF2" s="67" t="s">
        <v>4740</v>
      </c>
      <c r="EG2" s="67" t="s">
        <v>4741</v>
      </c>
      <c r="EH2" s="67" t="s">
        <v>4914</v>
      </c>
    </row>
    <row r="3" spans="1:138" x14ac:dyDescent="0.2">
      <c r="A3" s="77" t="s">
        <v>3942</v>
      </c>
      <c r="B3" s="77" t="s">
        <v>4050</v>
      </c>
      <c r="C3" s="77">
        <v>2</v>
      </c>
      <c r="D3" s="77">
        <v>4</v>
      </c>
      <c r="E3" s="77">
        <v>-5</v>
      </c>
      <c r="F3" s="77"/>
      <c r="G3" s="77"/>
      <c r="H3" s="77">
        <v>2</v>
      </c>
      <c r="I3" s="77">
        <v>4</v>
      </c>
      <c r="J3" s="77"/>
      <c r="K3" s="77"/>
      <c r="L3" s="77"/>
      <c r="M3" s="77">
        <v>10</v>
      </c>
      <c r="N3" s="77"/>
      <c r="O3" s="77">
        <v>10</v>
      </c>
      <c r="P3" s="77">
        <v>20</v>
      </c>
      <c r="Q3" s="77">
        <v>15</v>
      </c>
      <c r="R3" s="77">
        <v>1</v>
      </c>
      <c r="S3" s="77">
        <v>4</v>
      </c>
      <c r="T3" s="77">
        <v>0.5</v>
      </c>
      <c r="U3" s="77">
        <v>25</v>
      </c>
      <c r="V3" s="12">
        <f t="shared" ref="V3:V34" si="0">SUM(C3:L3)</f>
        <v>7</v>
      </c>
      <c r="W3" s="12"/>
      <c r="X3" s="77" t="str">
        <f>Taulukko1[[#This Row],[Main Race]]</f>
        <v>Elf</v>
      </c>
      <c r="Z3" s="12" t="s">
        <v>4050</v>
      </c>
      <c r="AA3" s="12">
        <v>7654</v>
      </c>
      <c r="AB3" s="12">
        <v>6543</v>
      </c>
      <c r="AC3" s="12">
        <v>6543</v>
      </c>
      <c r="AD3" s="12">
        <v>6543</v>
      </c>
      <c r="AE3" s="12">
        <v>6543</v>
      </c>
      <c r="AF3" s="12">
        <v>6543</v>
      </c>
      <c r="AG3" s="12">
        <v>6543</v>
      </c>
      <c r="AH3" s="12">
        <v>6311</v>
      </c>
      <c r="AJ3" s="12" t="s">
        <v>4048</v>
      </c>
      <c r="AK3" s="77" t="s">
        <v>4062</v>
      </c>
      <c r="AL3" s="77" t="s">
        <v>897</v>
      </c>
      <c r="AM3" s="77" t="s">
        <v>897</v>
      </c>
      <c r="AN3" s="77" t="s">
        <v>876</v>
      </c>
      <c r="AO3" s="77" t="s">
        <v>876</v>
      </c>
      <c r="AP3" s="77" t="s">
        <v>876</v>
      </c>
      <c r="AQ3" s="77" t="s">
        <v>3942</v>
      </c>
      <c r="AR3" s="77" t="s">
        <v>3942</v>
      </c>
      <c r="AS3" s="77" t="s">
        <v>3942</v>
      </c>
      <c r="AT3" s="77" t="s">
        <v>3942</v>
      </c>
      <c r="AU3" s="77" t="s">
        <v>3942</v>
      </c>
      <c r="AV3" s="77" t="s">
        <v>3942</v>
      </c>
      <c r="AW3" s="77" t="s">
        <v>4053</v>
      </c>
      <c r="AX3" s="77" t="s">
        <v>4053</v>
      </c>
      <c r="AY3" s="77" t="s">
        <v>4053</v>
      </c>
      <c r="AZ3" s="77" t="s">
        <v>886</v>
      </c>
      <c r="BA3" s="77" t="s">
        <v>886</v>
      </c>
      <c r="BB3" s="77" t="s">
        <v>886</v>
      </c>
      <c r="BC3" s="77" t="s">
        <v>4055</v>
      </c>
      <c r="BD3" s="77" t="s">
        <v>4055</v>
      </c>
      <c r="BE3" s="77" t="s">
        <v>4055</v>
      </c>
      <c r="BF3" s="77" t="s">
        <v>4055</v>
      </c>
      <c r="BG3" s="77" t="s">
        <v>4055</v>
      </c>
      <c r="BH3" s="77" t="s">
        <v>4055</v>
      </c>
      <c r="BI3" s="77" t="s">
        <v>4055</v>
      </c>
      <c r="BJ3" s="77" t="s">
        <v>4055</v>
      </c>
      <c r="BK3" s="77" t="s">
        <v>4055</v>
      </c>
      <c r="BL3" s="77" t="s">
        <v>4055</v>
      </c>
      <c r="BM3" s="77" t="s">
        <v>4055</v>
      </c>
      <c r="BN3" s="77" t="s">
        <v>4055</v>
      </c>
      <c r="BO3" s="77" t="s">
        <v>4055</v>
      </c>
      <c r="BP3" s="77" t="s">
        <v>4055</v>
      </c>
      <c r="BQ3" s="77" t="s">
        <v>4055</v>
      </c>
      <c r="BR3" s="77" t="s">
        <v>4055</v>
      </c>
      <c r="BS3" s="77" t="s">
        <v>4055</v>
      </c>
      <c r="BT3" s="77" t="s">
        <v>4055</v>
      </c>
      <c r="BU3" s="77" t="s">
        <v>994</v>
      </c>
      <c r="BV3" s="77" t="s">
        <v>994</v>
      </c>
      <c r="BW3" s="86" t="s">
        <v>872</v>
      </c>
      <c r="BX3" s="86" t="s">
        <v>872</v>
      </c>
      <c r="BY3" s="86" t="s">
        <v>873</v>
      </c>
      <c r="BZ3" s="86" t="s">
        <v>873</v>
      </c>
      <c r="CA3" s="67" t="s">
        <v>874</v>
      </c>
      <c r="CB3" s="86" t="s">
        <v>874</v>
      </c>
      <c r="CC3" s="86" t="s">
        <v>874</v>
      </c>
      <c r="CD3" s="86" t="s">
        <v>874</v>
      </c>
      <c r="CE3" s="86" t="s">
        <v>874</v>
      </c>
      <c r="CF3" s="86" t="s">
        <v>875</v>
      </c>
      <c r="CG3" s="67" t="s">
        <v>874</v>
      </c>
      <c r="CH3" s="67" t="s">
        <v>874</v>
      </c>
      <c r="CI3" s="67" t="s">
        <v>874</v>
      </c>
      <c r="CJ3" s="86" t="s">
        <v>876</v>
      </c>
      <c r="CK3" s="86" t="s">
        <v>3942</v>
      </c>
      <c r="CL3" s="86" t="s">
        <v>3942</v>
      </c>
      <c r="CM3" s="86" t="s">
        <v>3942</v>
      </c>
      <c r="CN3" s="86" t="s">
        <v>3942</v>
      </c>
      <c r="CO3" s="86" t="s">
        <v>3942</v>
      </c>
      <c r="CP3" s="86" t="s">
        <v>881</v>
      </c>
      <c r="CQ3" s="86" t="s">
        <v>882</v>
      </c>
      <c r="CR3" s="86" t="s">
        <v>883</v>
      </c>
      <c r="CS3" s="86" t="s">
        <v>883</v>
      </c>
      <c r="CT3" s="86" t="s">
        <v>883</v>
      </c>
      <c r="CU3" s="86" t="s">
        <v>883</v>
      </c>
      <c r="CV3" s="86" t="s">
        <v>883</v>
      </c>
      <c r="CW3" s="86" t="s">
        <v>883</v>
      </c>
      <c r="CX3" s="86" t="s">
        <v>883</v>
      </c>
      <c r="CY3" s="86" t="s">
        <v>883</v>
      </c>
      <c r="CZ3" s="86" t="s">
        <v>884</v>
      </c>
      <c r="DA3" s="86" t="s">
        <v>885</v>
      </c>
      <c r="DB3" s="86" t="s">
        <v>886</v>
      </c>
      <c r="DC3" s="86" t="s">
        <v>886</v>
      </c>
      <c r="DD3" s="86" t="s">
        <v>886</v>
      </c>
      <c r="DE3" s="86" t="s">
        <v>887</v>
      </c>
      <c r="DF3" s="86" t="s">
        <v>887</v>
      </c>
      <c r="DG3" s="86" t="s">
        <v>887</v>
      </c>
      <c r="DH3" s="86" t="s">
        <v>887</v>
      </c>
      <c r="DI3" s="86" t="s">
        <v>888</v>
      </c>
      <c r="DJ3" s="86" t="s">
        <v>888</v>
      </c>
      <c r="DK3" s="86" t="s">
        <v>888</v>
      </c>
      <c r="DL3" s="86" t="s">
        <v>888</v>
      </c>
      <c r="DM3" s="67" t="s">
        <v>888</v>
      </c>
      <c r="DN3" s="86" t="s">
        <v>888</v>
      </c>
      <c r="DO3" s="86" t="s">
        <v>888</v>
      </c>
      <c r="DP3" s="86" t="s">
        <v>888</v>
      </c>
      <c r="DQ3" s="86" t="s">
        <v>888</v>
      </c>
      <c r="DR3" s="86" t="s">
        <v>889</v>
      </c>
      <c r="DS3" s="86" t="s">
        <v>890</v>
      </c>
      <c r="DT3" s="86" t="s">
        <v>891</v>
      </c>
      <c r="DU3" s="86" t="s">
        <v>892</v>
      </c>
      <c r="DV3" s="86" t="s">
        <v>893</v>
      </c>
      <c r="DW3" s="86" t="s">
        <v>894</v>
      </c>
      <c r="DX3" s="86" t="s">
        <v>895</v>
      </c>
      <c r="DY3" s="86" t="s">
        <v>896</v>
      </c>
      <c r="DZ3" s="67" t="s">
        <v>898</v>
      </c>
      <c r="EA3" s="67" t="s">
        <v>898</v>
      </c>
      <c r="EB3" s="67" t="s">
        <v>898</v>
      </c>
      <c r="EC3" s="67" t="s">
        <v>898</v>
      </c>
      <c r="ED3" s="67" t="s">
        <v>898</v>
      </c>
      <c r="EE3" s="67" t="s">
        <v>898</v>
      </c>
      <c r="EF3" s="67"/>
      <c r="EG3" s="67"/>
      <c r="EH3" s="67"/>
    </row>
    <row r="4" spans="1:138" x14ac:dyDescent="0.2">
      <c r="A4" s="77" t="s">
        <v>4055</v>
      </c>
      <c r="B4" s="77" t="s">
        <v>4136</v>
      </c>
      <c r="C4" s="77"/>
      <c r="D4" s="77"/>
      <c r="E4" s="77">
        <v>2</v>
      </c>
      <c r="F4" s="77"/>
      <c r="G4" s="77"/>
      <c r="H4" s="77">
        <v>2</v>
      </c>
      <c r="I4" s="77"/>
      <c r="J4" s="77"/>
      <c r="K4" s="77"/>
      <c r="L4" s="77"/>
      <c r="M4" s="77"/>
      <c r="N4" s="77"/>
      <c r="O4" s="77"/>
      <c r="P4" s="77"/>
      <c r="Q4" s="77"/>
      <c r="R4" s="77">
        <v>1</v>
      </c>
      <c r="S4" s="77">
        <v>6</v>
      </c>
      <c r="T4" s="77">
        <v>1</v>
      </c>
      <c r="U4" s="77">
        <v>60</v>
      </c>
      <c r="V4" s="12">
        <f t="shared" si="0"/>
        <v>4</v>
      </c>
      <c r="W4" s="12"/>
      <c r="X4" s="77" t="str">
        <f>Taulukko1[[#This Row],[Main Race]]</f>
        <v>Human</v>
      </c>
      <c r="Z4" s="12" t="s">
        <v>4136</v>
      </c>
      <c r="AA4" s="12">
        <v>6543</v>
      </c>
      <c r="AB4" s="12">
        <v>6543</v>
      </c>
      <c r="AC4" s="12">
        <v>7654</v>
      </c>
      <c r="AD4" s="12">
        <v>6543</v>
      </c>
      <c r="AE4" s="12">
        <v>6543</v>
      </c>
      <c r="AF4" s="12">
        <v>6543</v>
      </c>
      <c r="AG4" s="12">
        <v>6543</v>
      </c>
      <c r="AH4" s="12">
        <v>6521</v>
      </c>
      <c r="AJ4" s="12" t="s">
        <v>206</v>
      </c>
      <c r="AK4" s="77" t="s">
        <v>4062</v>
      </c>
      <c r="AL4" s="77" t="s">
        <v>958</v>
      </c>
      <c r="AM4" s="77" t="s">
        <v>957</v>
      </c>
      <c r="AN4" s="77" t="s">
        <v>4226</v>
      </c>
      <c r="AO4" s="77" t="s">
        <v>4225</v>
      </c>
      <c r="AP4" s="77" t="s">
        <v>4230</v>
      </c>
      <c r="AQ4" s="77" t="s">
        <v>4050</v>
      </c>
      <c r="AR4" s="77" t="s">
        <v>880</v>
      </c>
      <c r="AS4" s="77" t="s">
        <v>4041</v>
      </c>
      <c r="AT4" s="77" t="s">
        <v>4040</v>
      </c>
      <c r="AU4" s="77" t="s">
        <v>4049</v>
      </c>
      <c r="AV4" s="77" t="s">
        <v>4042</v>
      </c>
      <c r="AW4" s="77" t="s">
        <v>4052</v>
      </c>
      <c r="AX4" s="77" t="s">
        <v>4215</v>
      </c>
      <c r="AY4" s="77" t="s">
        <v>4054</v>
      </c>
      <c r="AZ4" s="77" t="s">
        <v>4227</v>
      </c>
      <c r="BA4" s="77" t="s">
        <v>4259</v>
      </c>
      <c r="BB4" s="77" t="s">
        <v>4237</v>
      </c>
      <c r="BC4" s="77" t="s">
        <v>4136</v>
      </c>
      <c r="BD4" s="77" t="s">
        <v>4064</v>
      </c>
      <c r="BE4" s="77" t="s">
        <v>4056</v>
      </c>
      <c r="BF4" s="77" t="s">
        <v>4057</v>
      </c>
      <c r="BG4" s="77" t="s">
        <v>4063</v>
      </c>
      <c r="BH4" s="77" t="s">
        <v>4065</v>
      </c>
      <c r="BI4" s="77" t="s">
        <v>4066</v>
      </c>
      <c r="BJ4" s="77" t="s">
        <v>4067</v>
      </c>
      <c r="BK4" s="77" t="s">
        <v>4058</v>
      </c>
      <c r="BL4" s="77" t="s">
        <v>4254</v>
      </c>
      <c r="BM4" s="77" t="s">
        <v>4059</v>
      </c>
      <c r="BN4" s="77" t="s">
        <v>4068</v>
      </c>
      <c r="BO4" s="77" t="s">
        <v>4060</v>
      </c>
      <c r="BP4" s="77" t="s">
        <v>4069</v>
      </c>
      <c r="BQ4" s="77" t="s">
        <v>4061</v>
      </c>
      <c r="BR4" s="77" t="s">
        <v>4070</v>
      </c>
      <c r="BS4" s="77" t="s">
        <v>4243</v>
      </c>
      <c r="BT4" s="77" t="s">
        <v>4071</v>
      </c>
      <c r="BU4" s="77" t="s">
        <v>894</v>
      </c>
      <c r="BV4" s="77" t="s">
        <v>1038</v>
      </c>
      <c r="BW4" s="67" t="s">
        <v>919</v>
      </c>
      <c r="BX4" s="67" t="s">
        <v>920</v>
      </c>
      <c r="BY4" s="86" t="s">
        <v>921</v>
      </c>
      <c r="BZ4" s="67" t="s">
        <v>922</v>
      </c>
      <c r="CA4" s="67" t="s">
        <v>923</v>
      </c>
      <c r="CB4" s="86" t="s">
        <v>924</v>
      </c>
      <c r="CC4" s="86" t="s">
        <v>925</v>
      </c>
      <c r="CD4" s="86" t="s">
        <v>926</v>
      </c>
      <c r="CE4" s="86" t="s">
        <v>927</v>
      </c>
      <c r="CF4" s="86" t="s">
        <v>875</v>
      </c>
      <c r="CG4" s="67" t="s">
        <v>918</v>
      </c>
      <c r="CH4" s="67" t="s">
        <v>928</v>
      </c>
      <c r="CI4" s="67" t="s">
        <v>929</v>
      </c>
      <c r="CJ4" s="86" t="s">
        <v>876</v>
      </c>
      <c r="CK4" s="86" t="s">
        <v>5474</v>
      </c>
      <c r="CL4" s="86" t="s">
        <v>877</v>
      </c>
      <c r="CM4" s="86" t="s">
        <v>878</v>
      </c>
      <c r="CN4" s="86" t="s">
        <v>879</v>
      </c>
      <c r="CO4" s="86" t="s">
        <v>880</v>
      </c>
      <c r="CP4" s="86" t="s">
        <v>930</v>
      </c>
      <c r="CQ4" s="86" t="s">
        <v>177</v>
      </c>
      <c r="CR4" s="86" t="s">
        <v>931</v>
      </c>
      <c r="CS4" s="86" t="s">
        <v>932</v>
      </c>
      <c r="CT4" s="86" t="s">
        <v>933</v>
      </c>
      <c r="CU4" s="86" t="s">
        <v>934</v>
      </c>
      <c r="CV4" s="86" t="s">
        <v>935</v>
      </c>
      <c r="CW4" s="86" t="s">
        <v>936</v>
      </c>
      <c r="CX4" s="86" t="s">
        <v>937</v>
      </c>
      <c r="CY4" s="67" t="s">
        <v>938</v>
      </c>
      <c r="CZ4" s="86" t="s">
        <v>939</v>
      </c>
      <c r="DA4" s="86" t="s">
        <v>940</v>
      </c>
      <c r="DB4" s="86" t="s">
        <v>941</v>
      </c>
      <c r="DC4" s="86" t="s">
        <v>942</v>
      </c>
      <c r="DD4" s="86" t="s">
        <v>943</v>
      </c>
      <c r="DE4" s="86" t="s">
        <v>887</v>
      </c>
      <c r="DF4" s="86" t="s">
        <v>944</v>
      </c>
      <c r="DG4" s="86" t="s">
        <v>945</v>
      </c>
      <c r="DH4" s="86" t="s">
        <v>946</v>
      </c>
      <c r="DI4" s="86" t="s">
        <v>947</v>
      </c>
      <c r="DJ4" s="86" t="s">
        <v>948</v>
      </c>
      <c r="DK4" s="86" t="s">
        <v>949</v>
      </c>
      <c r="DL4" s="86" t="s">
        <v>950</v>
      </c>
      <c r="DM4" s="67" t="s">
        <v>951</v>
      </c>
      <c r="DN4" s="86" t="s">
        <v>952</v>
      </c>
      <c r="DO4" s="86" t="s">
        <v>953</v>
      </c>
      <c r="DP4" s="86" t="s">
        <v>954</v>
      </c>
      <c r="DQ4" s="86" t="s">
        <v>955</v>
      </c>
      <c r="DR4" s="86" t="s">
        <v>889</v>
      </c>
      <c r="DS4" s="86" t="s">
        <v>890</v>
      </c>
      <c r="DT4" s="86" t="s">
        <v>891</v>
      </c>
      <c r="DU4" s="86" t="s">
        <v>892</v>
      </c>
      <c r="DV4" s="86" t="s">
        <v>956</v>
      </c>
      <c r="DW4" s="88" t="s">
        <v>4746</v>
      </c>
      <c r="DX4" s="86" t="s">
        <v>895</v>
      </c>
      <c r="DY4" s="86" t="s">
        <v>896</v>
      </c>
      <c r="DZ4" s="67" t="s">
        <v>959</v>
      </c>
      <c r="EA4" s="67" t="s">
        <v>960</v>
      </c>
      <c r="EB4" s="77" t="s">
        <v>1039</v>
      </c>
      <c r="EC4" s="67" t="s">
        <v>962</v>
      </c>
      <c r="ED4" s="67" t="s">
        <v>963</v>
      </c>
      <c r="EE4" s="67" t="s">
        <v>964</v>
      </c>
      <c r="EF4" s="67" t="s">
        <v>965</v>
      </c>
      <c r="EG4" s="67" t="s">
        <v>966</v>
      </c>
      <c r="EH4" s="67"/>
    </row>
    <row r="5" spans="1:138" x14ac:dyDescent="0.2">
      <c r="A5" s="77" t="s">
        <v>917</v>
      </c>
      <c r="B5" s="77" t="s">
        <v>918</v>
      </c>
      <c r="C5" s="77">
        <v>4</v>
      </c>
      <c r="D5" s="77"/>
      <c r="E5" s="77"/>
      <c r="F5" s="77"/>
      <c r="G5" s="77"/>
      <c r="H5" s="77">
        <v>4</v>
      </c>
      <c r="I5" s="77"/>
      <c r="J5" s="77">
        <v>2</v>
      </c>
      <c r="K5" s="77"/>
      <c r="L5" s="77"/>
      <c r="M5" s="77"/>
      <c r="N5" s="77"/>
      <c r="O5" s="77"/>
      <c r="P5" s="77">
        <v>5</v>
      </c>
      <c r="Q5" s="77">
        <v>15</v>
      </c>
      <c r="R5" s="77">
        <v>10</v>
      </c>
      <c r="S5" s="77">
        <v>4</v>
      </c>
      <c r="T5" s="77">
        <v>0.75</v>
      </c>
      <c r="U5" s="77">
        <f>S5*10</f>
        <v>40</v>
      </c>
      <c r="V5" s="12">
        <f t="shared" si="0"/>
        <v>10</v>
      </c>
      <c r="W5" s="12"/>
      <c r="X5" s="77" t="str">
        <f>Taulukko1[[#This Row],[Main Race]]</f>
        <v>High Man</v>
      </c>
      <c r="Z5" s="12" t="s">
        <v>918</v>
      </c>
      <c r="AA5" s="12">
        <v>6543</v>
      </c>
      <c r="AB5" s="12">
        <v>6543</v>
      </c>
      <c r="AC5" s="12">
        <v>7654</v>
      </c>
      <c r="AD5" s="12">
        <v>6453</v>
      </c>
      <c r="AE5" s="12">
        <v>6543</v>
      </c>
      <c r="AF5" s="12">
        <v>6543</v>
      </c>
      <c r="AG5" s="12">
        <v>6543</v>
      </c>
      <c r="AH5" s="12">
        <v>7531</v>
      </c>
      <c r="AJ5" s="20" t="s">
        <v>970</v>
      </c>
      <c r="AK5" s="12"/>
      <c r="AL5" s="12"/>
      <c r="AM5" s="12">
        <v>1</v>
      </c>
      <c r="AN5" s="12">
        <v>2</v>
      </c>
      <c r="AO5" s="12">
        <v>1</v>
      </c>
      <c r="AP5" s="12">
        <v>1</v>
      </c>
      <c r="AQ5" s="12"/>
      <c r="AR5" s="12">
        <v>1</v>
      </c>
      <c r="AS5" s="12">
        <v>1</v>
      </c>
      <c r="AT5" s="12">
        <v>1</v>
      </c>
      <c r="AU5" s="12"/>
      <c r="AV5" s="12">
        <v>1</v>
      </c>
      <c r="AW5" s="12">
        <v>1</v>
      </c>
      <c r="AX5" s="12">
        <v>1</v>
      </c>
      <c r="AY5" s="12">
        <v>1</v>
      </c>
      <c r="AZ5" s="12">
        <v>1</v>
      </c>
      <c r="BA5" s="12"/>
      <c r="BB5" s="12">
        <v>1</v>
      </c>
      <c r="BC5" s="12">
        <v>2</v>
      </c>
      <c r="BD5" s="12">
        <v>1</v>
      </c>
      <c r="BE5" s="12">
        <v>1</v>
      </c>
      <c r="BF5" s="12">
        <v>1</v>
      </c>
      <c r="BG5" s="12">
        <v>1</v>
      </c>
      <c r="BH5" s="12">
        <v>1</v>
      </c>
      <c r="BI5" s="12">
        <v>1</v>
      </c>
      <c r="BJ5" s="12"/>
      <c r="BK5" s="12">
        <v>2</v>
      </c>
      <c r="BL5" s="12"/>
      <c r="BM5" s="12">
        <v>1</v>
      </c>
      <c r="BN5" s="12">
        <v>1</v>
      </c>
      <c r="BO5" s="12">
        <v>1</v>
      </c>
      <c r="BP5" s="12">
        <v>1</v>
      </c>
      <c r="BQ5" s="12">
        <v>1</v>
      </c>
      <c r="BR5" s="12">
        <v>1</v>
      </c>
      <c r="BS5" s="12">
        <v>1</v>
      </c>
      <c r="BT5" s="12">
        <v>1</v>
      </c>
      <c r="BU5" s="12">
        <v>3</v>
      </c>
      <c r="BV5" s="12">
        <v>3</v>
      </c>
      <c r="BW5" s="67">
        <v>1</v>
      </c>
      <c r="BX5" s="67">
        <v>1</v>
      </c>
      <c r="BY5" s="67">
        <v>1</v>
      </c>
      <c r="BZ5" s="67">
        <v>1</v>
      </c>
      <c r="CA5" s="67">
        <v>1</v>
      </c>
      <c r="CB5" s="67">
        <v>1</v>
      </c>
      <c r="CC5" s="67">
        <v>1</v>
      </c>
      <c r="CD5" s="67"/>
      <c r="CE5" s="67">
        <v>2</v>
      </c>
      <c r="CF5" s="67">
        <v>2</v>
      </c>
      <c r="CG5" s="67">
        <v>1</v>
      </c>
      <c r="CH5" s="67">
        <v>2</v>
      </c>
      <c r="CI5" s="67">
        <v>2</v>
      </c>
      <c r="CJ5" s="67">
        <v>1</v>
      </c>
      <c r="CK5" s="67">
        <v>2</v>
      </c>
      <c r="CL5" s="67">
        <v>1</v>
      </c>
      <c r="CM5" s="67">
        <v>1</v>
      </c>
      <c r="CN5" s="67">
        <v>1</v>
      </c>
      <c r="CO5" s="67">
        <v>1</v>
      </c>
      <c r="CP5" s="67">
        <v>2</v>
      </c>
      <c r="CQ5" s="67">
        <v>1</v>
      </c>
      <c r="CR5" s="67">
        <v>1</v>
      </c>
      <c r="CS5" s="67">
        <v>2</v>
      </c>
      <c r="CT5" s="67">
        <v>1</v>
      </c>
      <c r="CU5" s="67">
        <v>1</v>
      </c>
      <c r="CV5" s="67">
        <v>1</v>
      </c>
      <c r="CW5" s="67">
        <v>1</v>
      </c>
      <c r="CX5" s="67">
        <v>1</v>
      </c>
      <c r="CY5" s="67">
        <v>1</v>
      </c>
      <c r="CZ5" s="67">
        <v>1</v>
      </c>
      <c r="DA5" s="67">
        <v>1</v>
      </c>
      <c r="DB5" s="67">
        <v>1</v>
      </c>
      <c r="DC5" s="67">
        <v>1</v>
      </c>
      <c r="DD5" s="67"/>
      <c r="DE5" s="67">
        <v>3</v>
      </c>
      <c r="DF5" s="67">
        <v>3</v>
      </c>
      <c r="DG5" s="67">
        <v>3</v>
      </c>
      <c r="DH5" s="67">
        <v>3</v>
      </c>
      <c r="DI5" s="67">
        <v>1</v>
      </c>
      <c r="DJ5" s="67">
        <v>1</v>
      </c>
      <c r="DK5" s="67">
        <v>1</v>
      </c>
      <c r="DL5" s="67">
        <v>1</v>
      </c>
      <c r="DM5" s="67">
        <v>1</v>
      </c>
      <c r="DN5" s="67">
        <v>1</v>
      </c>
      <c r="DO5" s="67">
        <v>1</v>
      </c>
      <c r="DP5" s="67">
        <v>1</v>
      </c>
      <c r="DQ5" s="67">
        <v>1</v>
      </c>
      <c r="DR5" s="67"/>
      <c r="DS5" s="67"/>
      <c r="DT5" s="67"/>
      <c r="DU5" s="67">
        <v>3</v>
      </c>
      <c r="DV5" s="67"/>
      <c r="DW5" s="67">
        <v>3</v>
      </c>
      <c r="DX5" s="67">
        <v>3</v>
      </c>
      <c r="DY5" s="67">
        <v>3</v>
      </c>
      <c r="DZ5" s="67">
        <v>1</v>
      </c>
      <c r="EA5" s="67">
        <v>1</v>
      </c>
      <c r="EB5" s="67">
        <v>2</v>
      </c>
      <c r="EC5" s="67">
        <v>1</v>
      </c>
      <c r="ED5" s="67">
        <v>1</v>
      </c>
      <c r="EE5" s="67">
        <v>1</v>
      </c>
      <c r="EF5" s="67"/>
      <c r="EG5" s="67"/>
      <c r="EH5" s="67">
        <v>2</v>
      </c>
    </row>
    <row r="6" spans="1:138" x14ac:dyDescent="0.2">
      <c r="A6" s="77" t="s">
        <v>888</v>
      </c>
      <c r="B6" s="77" t="s">
        <v>948</v>
      </c>
      <c r="C6" s="77"/>
      <c r="D6" s="77"/>
      <c r="E6" s="77">
        <v>2</v>
      </c>
      <c r="F6" s="77"/>
      <c r="G6" s="77"/>
      <c r="H6" s="77">
        <v>2</v>
      </c>
      <c r="I6" s="77"/>
      <c r="J6" s="77">
        <v>-2</v>
      </c>
      <c r="K6" s="77">
        <v>2</v>
      </c>
      <c r="L6" s="77"/>
      <c r="M6" s="77"/>
      <c r="N6" s="77"/>
      <c r="O6" s="77"/>
      <c r="P6" s="77"/>
      <c r="Q6" s="77"/>
      <c r="R6" s="77">
        <v>12</v>
      </c>
      <c r="S6" s="77">
        <v>6</v>
      </c>
      <c r="T6" s="77">
        <v>1</v>
      </c>
      <c r="U6" s="77">
        <v>50</v>
      </c>
      <c r="V6" s="12">
        <f t="shared" si="0"/>
        <v>4</v>
      </c>
      <c r="W6" s="12"/>
      <c r="X6" s="77" t="str">
        <f>Taulukko1[[#This Row],[Main Race]]</f>
        <v>Talatherim</v>
      </c>
      <c r="Z6" s="12" t="s">
        <v>948</v>
      </c>
      <c r="AA6" s="12">
        <v>6543</v>
      </c>
      <c r="AB6" s="12">
        <v>6543</v>
      </c>
      <c r="AC6" s="12">
        <v>7654</v>
      </c>
      <c r="AD6" s="12">
        <v>6543</v>
      </c>
      <c r="AE6" s="12">
        <v>6543</v>
      </c>
      <c r="AF6" s="12">
        <v>6543</v>
      </c>
      <c r="AG6" s="12">
        <v>6543</v>
      </c>
      <c r="AH6" s="12">
        <v>6421</v>
      </c>
      <c r="AJ6" s="12" t="s">
        <v>388</v>
      </c>
      <c r="AK6" s="12"/>
      <c r="AL6" s="12"/>
      <c r="AM6" s="12"/>
      <c r="AN6" s="12"/>
      <c r="AO6" s="12"/>
      <c r="AP6" s="12"/>
      <c r="AQ6" s="12"/>
      <c r="AR6" s="12"/>
      <c r="AS6" s="12"/>
      <c r="AT6" s="12"/>
      <c r="AU6" s="12"/>
      <c r="AV6" s="12"/>
      <c r="AW6" s="12">
        <v>1</v>
      </c>
      <c r="AX6" s="12"/>
      <c r="AY6" s="12"/>
      <c r="AZ6" s="12"/>
      <c r="BA6" s="12"/>
      <c r="BB6" s="12">
        <v>1</v>
      </c>
      <c r="BC6" s="12"/>
      <c r="BD6" s="12"/>
      <c r="BE6" s="12">
        <v>1</v>
      </c>
      <c r="BF6" s="12"/>
      <c r="BG6" s="12"/>
      <c r="BH6" s="12"/>
      <c r="BI6" s="12"/>
      <c r="BJ6" s="12"/>
      <c r="BK6" s="12"/>
      <c r="BL6" s="12"/>
      <c r="BM6" s="12"/>
      <c r="BN6" s="12"/>
      <c r="BO6" s="12"/>
      <c r="BP6" s="12"/>
      <c r="BQ6" s="12"/>
      <c r="BR6" s="12"/>
      <c r="BS6" s="12">
        <v>1</v>
      </c>
      <c r="BT6" s="12">
        <v>1</v>
      </c>
      <c r="BU6" s="12">
        <v>1</v>
      </c>
      <c r="BV6" s="12">
        <v>1</v>
      </c>
      <c r="BW6" s="67"/>
      <c r="BX6" s="67"/>
      <c r="BY6" s="67">
        <v>1</v>
      </c>
      <c r="BZ6" s="67">
        <v>1</v>
      </c>
      <c r="CA6" s="67"/>
      <c r="CB6" s="67"/>
      <c r="CC6" s="67"/>
      <c r="CD6" s="67"/>
      <c r="CE6" s="67"/>
      <c r="CF6" s="67"/>
      <c r="CG6" s="67"/>
      <c r="CH6" s="67"/>
      <c r="CI6" s="67"/>
      <c r="CJ6" s="67"/>
      <c r="CK6" s="67"/>
      <c r="CL6" s="67"/>
      <c r="CM6" s="67"/>
      <c r="CN6" s="67"/>
      <c r="CO6" s="67"/>
      <c r="CP6" s="67"/>
      <c r="CQ6" s="67"/>
      <c r="CR6" s="67"/>
      <c r="CS6" s="67"/>
      <c r="CT6" s="67"/>
      <c r="CU6" s="67">
        <v>1</v>
      </c>
      <c r="CV6" s="67">
        <v>1</v>
      </c>
      <c r="CW6" s="67">
        <v>1</v>
      </c>
      <c r="CX6" s="67">
        <v>1</v>
      </c>
      <c r="CY6" s="67">
        <v>1</v>
      </c>
      <c r="CZ6" s="67">
        <v>1</v>
      </c>
      <c r="DA6" s="67">
        <v>1</v>
      </c>
      <c r="DB6" s="67">
        <v>1</v>
      </c>
      <c r="DC6" s="67">
        <v>1</v>
      </c>
      <c r="DD6" s="67"/>
      <c r="DE6" s="67">
        <v>3</v>
      </c>
      <c r="DF6" s="67">
        <v>3</v>
      </c>
      <c r="DG6" s="67">
        <v>3</v>
      </c>
      <c r="DH6" s="67">
        <v>3</v>
      </c>
      <c r="DI6" s="67"/>
      <c r="DJ6" s="67"/>
      <c r="DK6" s="67"/>
      <c r="DL6" s="67"/>
      <c r="DM6" s="67">
        <v>1</v>
      </c>
      <c r="DN6" s="67">
        <v>2</v>
      </c>
      <c r="DO6" s="67">
        <v>1</v>
      </c>
      <c r="DP6" s="67"/>
      <c r="DQ6" s="67"/>
      <c r="DR6" s="67"/>
      <c r="DS6" s="67"/>
      <c r="DT6" s="67"/>
      <c r="DU6" s="67">
        <v>3</v>
      </c>
      <c r="DV6" s="67"/>
      <c r="DW6" s="67">
        <v>1</v>
      </c>
      <c r="DX6" s="67">
        <v>1</v>
      </c>
      <c r="DY6" s="67">
        <v>1</v>
      </c>
      <c r="DZ6" s="67"/>
      <c r="EA6" s="67"/>
      <c r="EB6" s="67">
        <v>1</v>
      </c>
      <c r="EC6" s="67"/>
      <c r="ED6" s="67">
        <v>1</v>
      </c>
      <c r="EE6" s="67">
        <v>1</v>
      </c>
      <c r="EF6" s="67"/>
      <c r="EG6" s="67"/>
      <c r="EH6" s="67">
        <v>3</v>
      </c>
    </row>
    <row r="7" spans="1:138" x14ac:dyDescent="0.2">
      <c r="A7" s="77" t="s">
        <v>4055</v>
      </c>
      <c r="B7" s="77" t="s">
        <v>4064</v>
      </c>
      <c r="C7" s="77"/>
      <c r="D7" s="77"/>
      <c r="E7" s="77">
        <v>2</v>
      </c>
      <c r="F7" s="77"/>
      <c r="G7" s="77"/>
      <c r="H7" s="77">
        <v>2</v>
      </c>
      <c r="I7" s="77"/>
      <c r="J7" s="77">
        <v>-2</v>
      </c>
      <c r="K7" s="77">
        <v>2</v>
      </c>
      <c r="L7" s="77"/>
      <c r="M7" s="77"/>
      <c r="N7" s="77"/>
      <c r="O7" s="77"/>
      <c r="P7" s="77"/>
      <c r="Q7" s="77"/>
      <c r="R7" s="77">
        <v>1</v>
      </c>
      <c r="S7" s="77">
        <v>6</v>
      </c>
      <c r="T7" s="77">
        <v>1</v>
      </c>
      <c r="U7" s="77">
        <v>55</v>
      </c>
      <c r="V7" s="12">
        <f t="shared" si="0"/>
        <v>4</v>
      </c>
      <c r="W7" s="12"/>
      <c r="X7" s="77" t="str">
        <f>Taulukko1[[#This Row],[Main Race]]</f>
        <v>Human</v>
      </c>
      <c r="Z7" s="12" t="s">
        <v>4064</v>
      </c>
      <c r="AA7" s="12">
        <v>6543</v>
      </c>
      <c r="AB7" s="12">
        <v>6543</v>
      </c>
      <c r="AC7" s="12">
        <v>7654</v>
      </c>
      <c r="AD7" s="12">
        <v>6543</v>
      </c>
      <c r="AE7" s="12">
        <v>6543</v>
      </c>
      <c r="AF7" s="12">
        <v>6543</v>
      </c>
      <c r="AG7" s="12">
        <v>6543</v>
      </c>
      <c r="AH7" s="12">
        <v>6421</v>
      </c>
      <c r="AJ7" s="12" t="s">
        <v>979</v>
      </c>
      <c r="AK7" s="12"/>
      <c r="AL7" s="12"/>
      <c r="AM7" s="12">
        <v>1</v>
      </c>
      <c r="AN7" s="12">
        <v>2</v>
      </c>
      <c r="AO7" s="12">
        <v>1</v>
      </c>
      <c r="AP7" s="12">
        <v>1</v>
      </c>
      <c r="AQ7" s="12"/>
      <c r="AR7" s="12"/>
      <c r="AS7" s="12"/>
      <c r="AT7" s="12"/>
      <c r="AU7" s="12"/>
      <c r="AV7" s="12">
        <v>1</v>
      </c>
      <c r="AW7" s="12"/>
      <c r="AX7" s="12">
        <v>1</v>
      </c>
      <c r="AY7" s="12">
        <v>1</v>
      </c>
      <c r="AZ7" s="12">
        <v>1</v>
      </c>
      <c r="BA7" s="12"/>
      <c r="BB7" s="12">
        <v>1</v>
      </c>
      <c r="BC7" s="12">
        <v>2</v>
      </c>
      <c r="BD7" s="12"/>
      <c r="BE7" s="12">
        <v>1</v>
      </c>
      <c r="BF7" s="12">
        <v>1</v>
      </c>
      <c r="BG7" s="12">
        <v>1</v>
      </c>
      <c r="BH7" s="12">
        <v>1</v>
      </c>
      <c r="BI7" s="12">
        <v>1</v>
      </c>
      <c r="BJ7" s="12"/>
      <c r="BK7" s="12">
        <v>2</v>
      </c>
      <c r="BL7" s="12"/>
      <c r="BM7" s="12">
        <v>1</v>
      </c>
      <c r="BN7" s="12">
        <v>1</v>
      </c>
      <c r="BO7" s="12">
        <v>1</v>
      </c>
      <c r="BP7" s="12">
        <v>1</v>
      </c>
      <c r="BQ7" s="12">
        <v>1</v>
      </c>
      <c r="BR7" s="12">
        <v>1</v>
      </c>
      <c r="BS7" s="12">
        <v>1</v>
      </c>
      <c r="BT7" s="12"/>
      <c r="BU7" s="12">
        <v>3</v>
      </c>
      <c r="BV7" s="12">
        <v>3</v>
      </c>
      <c r="BW7" s="67">
        <v>1</v>
      </c>
      <c r="BX7" s="67">
        <v>1</v>
      </c>
      <c r="BY7" s="67">
        <v>1</v>
      </c>
      <c r="BZ7" s="67"/>
      <c r="CA7" s="67">
        <v>1</v>
      </c>
      <c r="CB7" s="67">
        <v>1</v>
      </c>
      <c r="CC7" s="67">
        <v>1</v>
      </c>
      <c r="CD7" s="67"/>
      <c r="CE7" s="67">
        <v>2</v>
      </c>
      <c r="CF7" s="67">
        <v>2</v>
      </c>
      <c r="CG7" s="67">
        <v>1</v>
      </c>
      <c r="CH7" s="67">
        <v>2</v>
      </c>
      <c r="CI7" s="67">
        <v>2</v>
      </c>
      <c r="CJ7" s="67">
        <v>1</v>
      </c>
      <c r="CK7" s="67"/>
      <c r="CL7" s="67"/>
      <c r="CM7" s="67"/>
      <c r="CN7" s="67"/>
      <c r="CO7" s="67">
        <v>1</v>
      </c>
      <c r="CP7" s="67">
        <v>2</v>
      </c>
      <c r="CQ7" s="67">
        <v>1</v>
      </c>
      <c r="CR7" s="67">
        <v>1</v>
      </c>
      <c r="CS7" s="67">
        <v>2</v>
      </c>
      <c r="CT7" s="67">
        <v>1</v>
      </c>
      <c r="CU7" s="67">
        <v>1</v>
      </c>
      <c r="CV7" s="67"/>
      <c r="CW7" s="67"/>
      <c r="CX7" s="67"/>
      <c r="CY7" s="67">
        <v>1</v>
      </c>
      <c r="CZ7" s="67">
        <v>1</v>
      </c>
      <c r="DA7" s="67">
        <v>1</v>
      </c>
      <c r="DB7" s="67"/>
      <c r="DC7" s="67"/>
      <c r="DD7" s="67"/>
      <c r="DE7" s="67"/>
      <c r="DF7" s="67"/>
      <c r="DG7" s="67"/>
      <c r="DH7" s="67"/>
      <c r="DI7" s="67">
        <v>1</v>
      </c>
      <c r="DJ7" s="67">
        <v>1</v>
      </c>
      <c r="DK7" s="67">
        <v>2</v>
      </c>
      <c r="DL7" s="67">
        <v>1</v>
      </c>
      <c r="DM7" s="67">
        <v>1</v>
      </c>
      <c r="DN7" s="67"/>
      <c r="DO7" s="67">
        <v>1</v>
      </c>
      <c r="DP7" s="67">
        <v>1</v>
      </c>
      <c r="DQ7" s="67">
        <v>1</v>
      </c>
      <c r="DR7" s="67"/>
      <c r="DS7" s="67"/>
      <c r="DT7" s="67"/>
      <c r="DU7" s="67">
        <v>3</v>
      </c>
      <c r="DV7" s="67"/>
      <c r="DW7" s="67">
        <v>3</v>
      </c>
      <c r="DX7" s="67">
        <v>3</v>
      </c>
      <c r="DY7" s="67">
        <v>3</v>
      </c>
      <c r="DZ7" s="67"/>
      <c r="EA7" s="67"/>
      <c r="EB7" s="67">
        <v>2</v>
      </c>
      <c r="EC7" s="67"/>
      <c r="ED7" s="67">
        <v>1</v>
      </c>
      <c r="EE7" s="67">
        <v>1</v>
      </c>
      <c r="EF7" s="67"/>
      <c r="EG7" s="67"/>
      <c r="EH7" s="67">
        <v>4</v>
      </c>
    </row>
    <row r="8" spans="1:138" x14ac:dyDescent="0.2">
      <c r="A8" s="77" t="s">
        <v>971</v>
      </c>
      <c r="B8" s="77" t="s">
        <v>177</v>
      </c>
      <c r="C8" s="77">
        <v>2</v>
      </c>
      <c r="D8" s="77"/>
      <c r="E8" s="77">
        <v>2</v>
      </c>
      <c r="F8" s="77"/>
      <c r="G8" s="77"/>
      <c r="H8" s="77">
        <v>4</v>
      </c>
      <c r="I8" s="77"/>
      <c r="J8" s="77">
        <v>2</v>
      </c>
      <c r="K8" s="77"/>
      <c r="L8" s="77"/>
      <c r="M8" s="77"/>
      <c r="N8" s="77"/>
      <c r="O8" s="77"/>
      <c r="P8" s="77"/>
      <c r="Q8" s="77">
        <v>5</v>
      </c>
      <c r="R8" s="77">
        <v>12</v>
      </c>
      <c r="S8" s="77">
        <v>4</v>
      </c>
      <c r="T8" s="77">
        <v>1</v>
      </c>
      <c r="U8" s="77">
        <v>45</v>
      </c>
      <c r="V8" s="12">
        <f t="shared" si="0"/>
        <v>10</v>
      </c>
      <c r="W8" s="12"/>
      <c r="X8" s="77" t="str">
        <f>Taulukko1[[#This Row],[Main Race]]</f>
        <v>Bear Tribe</v>
      </c>
      <c r="Z8" s="12" t="s">
        <v>177</v>
      </c>
      <c r="AA8" s="12">
        <v>5432</v>
      </c>
      <c r="AB8" s="12">
        <v>6543</v>
      </c>
      <c r="AC8" s="12">
        <v>7654</v>
      </c>
      <c r="AD8" s="12">
        <v>6543</v>
      </c>
      <c r="AE8" s="12">
        <v>6543</v>
      </c>
      <c r="AF8" s="12">
        <v>6543</v>
      </c>
      <c r="AG8" s="12">
        <v>6543</v>
      </c>
      <c r="AH8" s="12">
        <v>7421</v>
      </c>
      <c r="AJ8" s="20" t="s">
        <v>981</v>
      </c>
      <c r="AK8" s="12">
        <v>3</v>
      </c>
      <c r="AL8" s="12">
        <v>2</v>
      </c>
      <c r="AM8" s="12">
        <v>1</v>
      </c>
      <c r="AN8" s="12">
        <v>1</v>
      </c>
      <c r="AO8" s="12">
        <v>2</v>
      </c>
      <c r="AP8" s="12">
        <v>4</v>
      </c>
      <c r="AQ8" s="12"/>
      <c r="AR8" s="12">
        <v>1</v>
      </c>
      <c r="AS8" s="12"/>
      <c r="AT8" s="12"/>
      <c r="AU8" s="12"/>
      <c r="AV8" s="12"/>
      <c r="AW8" s="12"/>
      <c r="AX8" s="12"/>
      <c r="AY8" s="12"/>
      <c r="AZ8" s="12"/>
      <c r="BA8" s="12"/>
      <c r="BB8" s="12"/>
      <c r="BC8" s="12"/>
      <c r="BD8" s="12"/>
      <c r="BE8" s="12">
        <v>1</v>
      </c>
      <c r="BF8" s="12">
        <v>1</v>
      </c>
      <c r="BG8" s="12"/>
      <c r="BH8" s="12"/>
      <c r="BI8" s="12"/>
      <c r="BJ8" s="12"/>
      <c r="BK8" s="12"/>
      <c r="BL8" s="12"/>
      <c r="BM8" s="12"/>
      <c r="BN8" s="12">
        <v>1</v>
      </c>
      <c r="BO8" s="12"/>
      <c r="BP8" s="12"/>
      <c r="BQ8" s="12">
        <v>1</v>
      </c>
      <c r="BR8" s="12"/>
      <c r="BS8" s="12"/>
      <c r="BT8" s="12"/>
      <c r="BU8" s="12">
        <v>2</v>
      </c>
      <c r="BV8" s="12">
        <v>1</v>
      </c>
      <c r="BW8" s="67"/>
      <c r="BX8" s="67"/>
      <c r="BY8" s="67"/>
      <c r="BZ8" s="67"/>
      <c r="CA8" s="67">
        <v>1</v>
      </c>
      <c r="CB8" s="67">
        <v>3</v>
      </c>
      <c r="CC8" s="67">
        <v>3</v>
      </c>
      <c r="CD8" s="67">
        <v>2</v>
      </c>
      <c r="CE8" s="67"/>
      <c r="CF8" s="67"/>
      <c r="CG8" s="67">
        <v>2</v>
      </c>
      <c r="CH8" s="67">
        <v>2</v>
      </c>
      <c r="CI8" s="67">
        <v>1</v>
      </c>
      <c r="CJ8" s="67">
        <v>3</v>
      </c>
      <c r="CK8" s="67"/>
      <c r="CL8" s="67"/>
      <c r="CM8" s="67"/>
      <c r="CN8" s="67"/>
      <c r="CO8" s="67">
        <v>1</v>
      </c>
      <c r="CP8" s="67"/>
      <c r="CQ8" s="67"/>
      <c r="CR8" s="67"/>
      <c r="CS8" s="67"/>
      <c r="CT8" s="67">
        <v>1</v>
      </c>
      <c r="CU8" s="67"/>
      <c r="CV8" s="67"/>
      <c r="CW8" s="67"/>
      <c r="CX8" s="67"/>
      <c r="CY8" s="67"/>
      <c r="CZ8" s="67"/>
      <c r="DA8" s="67"/>
      <c r="DB8" s="67"/>
      <c r="DC8" s="67"/>
      <c r="DD8" s="67"/>
      <c r="DE8" s="67"/>
      <c r="DF8" s="67"/>
      <c r="DG8" s="67"/>
      <c r="DH8" s="67"/>
      <c r="DI8" s="67">
        <v>1</v>
      </c>
      <c r="DJ8" s="67"/>
      <c r="DK8" s="67"/>
      <c r="DL8" s="67"/>
      <c r="DM8" s="67"/>
      <c r="DN8" s="67"/>
      <c r="DO8" s="67"/>
      <c r="DP8" s="67"/>
      <c r="DQ8" s="67"/>
      <c r="DR8" s="67"/>
      <c r="DS8" s="67"/>
      <c r="DT8" s="67"/>
      <c r="DU8" s="67"/>
      <c r="DV8" s="67"/>
      <c r="DW8" s="67">
        <v>2</v>
      </c>
      <c r="DX8" s="67">
        <v>3</v>
      </c>
      <c r="DY8" s="67">
        <v>1</v>
      </c>
      <c r="DZ8" s="67"/>
      <c r="EA8" s="67"/>
      <c r="EB8" s="67">
        <v>3</v>
      </c>
      <c r="EC8" s="67">
        <v>3</v>
      </c>
      <c r="ED8" s="67"/>
      <c r="EE8" s="67">
        <v>2</v>
      </c>
      <c r="EF8" s="67"/>
      <c r="EG8" s="67"/>
      <c r="EH8" s="67">
        <v>5</v>
      </c>
    </row>
    <row r="9" spans="1:138" x14ac:dyDescent="0.2">
      <c r="A9" s="77" t="s">
        <v>917</v>
      </c>
      <c r="B9" s="77" t="s">
        <v>978</v>
      </c>
      <c r="C9" s="77">
        <v>4</v>
      </c>
      <c r="D9" s="77"/>
      <c r="E9" s="77"/>
      <c r="F9" s="77"/>
      <c r="G9" s="77"/>
      <c r="H9" s="77">
        <v>4</v>
      </c>
      <c r="I9" s="77"/>
      <c r="J9" s="77">
        <v>2</v>
      </c>
      <c r="K9" s="77"/>
      <c r="L9" s="77"/>
      <c r="M9" s="77"/>
      <c r="N9" s="77"/>
      <c r="O9" s="77"/>
      <c r="P9" s="77">
        <v>5</v>
      </c>
      <c r="Q9" s="77">
        <v>15</v>
      </c>
      <c r="R9" s="77">
        <v>10</v>
      </c>
      <c r="S9" s="77">
        <v>5</v>
      </c>
      <c r="T9" s="77">
        <v>0.75</v>
      </c>
      <c r="U9" s="77">
        <f>S9*10</f>
        <v>50</v>
      </c>
      <c r="V9" s="12">
        <f t="shared" si="0"/>
        <v>10</v>
      </c>
      <c r="W9" s="12"/>
      <c r="X9" s="77" t="str">
        <f>Taulukko1[[#This Row],[Main Race]]</f>
        <v>High Man</v>
      </c>
      <c r="Z9" s="12" t="s">
        <v>926</v>
      </c>
      <c r="AA9" s="12">
        <v>6543</v>
      </c>
      <c r="AB9" s="12">
        <v>6543</v>
      </c>
      <c r="AC9" s="12">
        <v>7654</v>
      </c>
      <c r="AD9" s="12">
        <v>6543</v>
      </c>
      <c r="AE9" s="12">
        <v>6543</v>
      </c>
      <c r="AF9" s="12">
        <v>6543</v>
      </c>
      <c r="AG9" s="12">
        <v>6543</v>
      </c>
      <c r="AH9" s="12">
        <v>7531</v>
      </c>
      <c r="AJ9" s="12" t="s">
        <v>392</v>
      </c>
      <c r="AK9" s="12">
        <v>3</v>
      </c>
      <c r="AL9" s="12">
        <v>2</v>
      </c>
      <c r="AM9" s="12">
        <v>1</v>
      </c>
      <c r="AN9" s="12">
        <v>1</v>
      </c>
      <c r="AO9" s="12">
        <v>2</v>
      </c>
      <c r="AP9" s="12">
        <v>4</v>
      </c>
      <c r="AQ9" s="12"/>
      <c r="AR9" s="12">
        <v>1</v>
      </c>
      <c r="AS9" s="12"/>
      <c r="AT9" s="12"/>
      <c r="AU9" s="12"/>
      <c r="AV9" s="12"/>
      <c r="AW9" s="12"/>
      <c r="AX9" s="12"/>
      <c r="AY9" s="12"/>
      <c r="AZ9" s="12"/>
      <c r="BA9" s="12"/>
      <c r="BB9" s="12"/>
      <c r="BC9" s="12"/>
      <c r="BD9" s="12"/>
      <c r="BE9" s="12"/>
      <c r="BF9" s="12"/>
      <c r="BG9" s="12"/>
      <c r="BH9" s="12"/>
      <c r="BI9" s="12"/>
      <c r="BJ9" s="12"/>
      <c r="BK9" s="12"/>
      <c r="BL9" s="12"/>
      <c r="BM9" s="12"/>
      <c r="BN9" s="12"/>
      <c r="BO9" s="12"/>
      <c r="BP9" s="12"/>
      <c r="BQ9" s="12"/>
      <c r="BR9" s="12"/>
      <c r="BS9" s="12"/>
      <c r="BT9" s="12"/>
      <c r="BU9" s="12">
        <v>2</v>
      </c>
      <c r="BV9" s="12">
        <v>1</v>
      </c>
      <c r="BW9" s="67"/>
      <c r="BX9" s="67"/>
      <c r="BY9" s="67"/>
      <c r="BZ9" s="67"/>
      <c r="CA9" s="67">
        <v>1</v>
      </c>
      <c r="CB9" s="67">
        <v>3</v>
      </c>
      <c r="CC9" s="67">
        <v>3</v>
      </c>
      <c r="CD9" s="67">
        <v>2</v>
      </c>
      <c r="CE9" s="67"/>
      <c r="CF9" s="67"/>
      <c r="CG9" s="67">
        <v>2</v>
      </c>
      <c r="CH9" s="67">
        <v>2</v>
      </c>
      <c r="CI9" s="67">
        <v>1</v>
      </c>
      <c r="CJ9" s="67">
        <v>3</v>
      </c>
      <c r="CK9" s="67"/>
      <c r="CL9" s="67"/>
      <c r="CM9" s="67"/>
      <c r="CN9" s="67"/>
      <c r="CO9" s="67">
        <v>1</v>
      </c>
      <c r="CP9" s="67"/>
      <c r="CQ9" s="67"/>
      <c r="CR9" s="67"/>
      <c r="CS9" s="67"/>
      <c r="CT9" s="67">
        <v>1</v>
      </c>
      <c r="CU9" s="67"/>
      <c r="CV9" s="67"/>
      <c r="CW9" s="67"/>
      <c r="CX9" s="67"/>
      <c r="CY9" s="67"/>
      <c r="CZ9" s="67"/>
      <c r="DA9" s="67"/>
      <c r="DB9" s="67"/>
      <c r="DC9" s="67"/>
      <c r="DD9" s="67"/>
      <c r="DE9" s="67"/>
      <c r="DF9" s="67"/>
      <c r="DG9" s="67"/>
      <c r="DH9" s="67"/>
      <c r="DI9" s="67">
        <v>1</v>
      </c>
      <c r="DJ9" s="67"/>
      <c r="DK9" s="67"/>
      <c r="DL9" s="67"/>
      <c r="DM9" s="67"/>
      <c r="DN9" s="67"/>
      <c r="DO9" s="67"/>
      <c r="DP9" s="67"/>
      <c r="DQ9" s="67"/>
      <c r="DR9" s="67"/>
      <c r="DS9" s="67"/>
      <c r="DT9" s="67"/>
      <c r="DU9" s="67"/>
      <c r="DV9" s="67"/>
      <c r="DW9" s="67">
        <v>2</v>
      </c>
      <c r="DX9" s="67">
        <v>3</v>
      </c>
      <c r="DY9" s="67">
        <v>1</v>
      </c>
      <c r="DZ9" s="67"/>
      <c r="EA9" s="67"/>
      <c r="EB9" s="67">
        <v>3</v>
      </c>
      <c r="EC9" s="67">
        <v>3</v>
      </c>
      <c r="ED9" s="67"/>
      <c r="EE9" s="67">
        <v>2</v>
      </c>
      <c r="EF9" s="67"/>
      <c r="EG9" s="67"/>
      <c r="EH9" s="67">
        <v>6</v>
      </c>
    </row>
    <row r="10" spans="1:138" x14ac:dyDescent="0.2">
      <c r="A10" s="77" t="s">
        <v>888</v>
      </c>
      <c r="B10" s="77" t="s">
        <v>949</v>
      </c>
      <c r="C10" s="77"/>
      <c r="D10" s="77"/>
      <c r="E10" s="77">
        <v>2</v>
      </c>
      <c r="F10" s="77"/>
      <c r="G10" s="77"/>
      <c r="H10" s="77">
        <v>2</v>
      </c>
      <c r="I10" s="77"/>
      <c r="J10" s="77">
        <v>-2</v>
      </c>
      <c r="K10" s="77">
        <v>2</v>
      </c>
      <c r="L10" s="77"/>
      <c r="M10" s="77"/>
      <c r="N10" s="77"/>
      <c r="O10" s="77"/>
      <c r="P10" s="77"/>
      <c r="Q10" s="77"/>
      <c r="R10" s="77">
        <v>12</v>
      </c>
      <c r="S10" s="77">
        <v>6</v>
      </c>
      <c r="T10" s="77">
        <v>1</v>
      </c>
      <c r="U10" s="77">
        <v>50</v>
      </c>
      <c r="V10" s="12">
        <f t="shared" si="0"/>
        <v>4</v>
      </c>
      <c r="W10" s="12"/>
      <c r="X10" s="77" t="str">
        <f>Taulukko1[[#This Row],[Main Race]]</f>
        <v>Talatherim</v>
      </c>
      <c r="Z10" s="12" t="s">
        <v>949</v>
      </c>
      <c r="AA10" s="12">
        <v>6543</v>
      </c>
      <c r="AB10" s="12">
        <v>6543</v>
      </c>
      <c r="AC10" s="12">
        <v>7654</v>
      </c>
      <c r="AD10" s="12">
        <v>6543</v>
      </c>
      <c r="AE10" s="12">
        <v>6543</v>
      </c>
      <c r="AF10" s="12">
        <v>6543</v>
      </c>
      <c r="AG10" s="12">
        <v>6543</v>
      </c>
      <c r="AH10" s="12">
        <v>6421</v>
      </c>
      <c r="AJ10" s="20" t="s">
        <v>993</v>
      </c>
      <c r="AK10" s="12">
        <v>2</v>
      </c>
      <c r="AL10" s="12">
        <v>1</v>
      </c>
      <c r="AM10" s="12">
        <v>1</v>
      </c>
      <c r="AN10" s="12">
        <v>1</v>
      </c>
      <c r="AO10" s="12">
        <v>1</v>
      </c>
      <c r="AP10" s="12">
        <v>1</v>
      </c>
      <c r="AQ10" s="12"/>
      <c r="AR10" s="12">
        <v>1</v>
      </c>
      <c r="AS10" s="12">
        <v>1</v>
      </c>
      <c r="AT10" s="12">
        <v>1</v>
      </c>
      <c r="AU10" s="12">
        <v>1</v>
      </c>
      <c r="AV10" s="12">
        <v>1</v>
      </c>
      <c r="AW10" s="12">
        <v>1</v>
      </c>
      <c r="AX10" s="12">
        <v>1</v>
      </c>
      <c r="AY10" s="12">
        <v>1</v>
      </c>
      <c r="AZ10" s="12">
        <v>1</v>
      </c>
      <c r="BA10" s="12">
        <v>1</v>
      </c>
      <c r="BB10" s="12">
        <v>1</v>
      </c>
      <c r="BC10" s="12">
        <v>1</v>
      </c>
      <c r="BD10" s="12">
        <v>1</v>
      </c>
      <c r="BE10" s="12">
        <v>1</v>
      </c>
      <c r="BF10" s="12">
        <v>1</v>
      </c>
      <c r="BG10" s="12">
        <v>1</v>
      </c>
      <c r="BH10" s="12">
        <v>1</v>
      </c>
      <c r="BI10" s="12">
        <v>1</v>
      </c>
      <c r="BJ10" s="12">
        <v>1</v>
      </c>
      <c r="BK10" s="12">
        <v>1</v>
      </c>
      <c r="BL10" s="12"/>
      <c r="BM10" s="12">
        <v>1</v>
      </c>
      <c r="BN10" s="12">
        <v>1</v>
      </c>
      <c r="BO10" s="12">
        <v>1</v>
      </c>
      <c r="BP10" s="12">
        <v>1</v>
      </c>
      <c r="BQ10" s="12">
        <v>1</v>
      </c>
      <c r="BR10" s="12">
        <v>1</v>
      </c>
      <c r="BS10" s="12">
        <v>1</v>
      </c>
      <c r="BT10" s="12">
        <v>1</v>
      </c>
      <c r="BU10" s="12">
        <v>1</v>
      </c>
      <c r="BV10" s="12">
        <v>1</v>
      </c>
      <c r="BW10" s="67">
        <v>1</v>
      </c>
      <c r="BX10" s="67">
        <v>1</v>
      </c>
      <c r="BY10" s="67">
        <v>1</v>
      </c>
      <c r="BZ10" s="67">
        <v>1</v>
      </c>
      <c r="CA10" s="67">
        <v>1</v>
      </c>
      <c r="CB10" s="67">
        <v>1</v>
      </c>
      <c r="CC10" s="67">
        <v>1</v>
      </c>
      <c r="CD10" s="67">
        <v>1</v>
      </c>
      <c r="CE10" s="67">
        <v>1</v>
      </c>
      <c r="CF10" s="67">
        <v>1</v>
      </c>
      <c r="CG10" s="67">
        <v>1</v>
      </c>
      <c r="CH10" s="67">
        <v>1</v>
      </c>
      <c r="CI10" s="67">
        <v>1</v>
      </c>
      <c r="CJ10" s="67">
        <v>1</v>
      </c>
      <c r="CK10" s="67">
        <v>1</v>
      </c>
      <c r="CL10" s="67">
        <v>1</v>
      </c>
      <c r="CM10" s="67">
        <v>1</v>
      </c>
      <c r="CN10" s="67">
        <v>1</v>
      </c>
      <c r="CO10" s="67">
        <v>1</v>
      </c>
      <c r="CP10" s="67">
        <v>1</v>
      </c>
      <c r="CQ10" s="67">
        <v>1</v>
      </c>
      <c r="CR10" s="67">
        <v>1</v>
      </c>
      <c r="CS10" s="67">
        <v>1</v>
      </c>
      <c r="CT10" s="67">
        <v>1</v>
      </c>
      <c r="CU10" s="67">
        <v>1</v>
      </c>
      <c r="CV10" s="67">
        <v>1</v>
      </c>
      <c r="CW10" s="67">
        <v>1</v>
      </c>
      <c r="CX10" s="67">
        <v>1</v>
      </c>
      <c r="CY10" s="67">
        <v>1</v>
      </c>
      <c r="CZ10" s="67">
        <v>1</v>
      </c>
      <c r="DA10" s="67">
        <v>1</v>
      </c>
      <c r="DB10" s="67">
        <v>1</v>
      </c>
      <c r="DC10" s="67">
        <v>1</v>
      </c>
      <c r="DD10" s="67">
        <v>1</v>
      </c>
      <c r="DE10" s="67">
        <v>1</v>
      </c>
      <c r="DF10" s="67">
        <v>1</v>
      </c>
      <c r="DG10" s="67">
        <v>1</v>
      </c>
      <c r="DH10" s="67">
        <v>1</v>
      </c>
      <c r="DI10" s="67">
        <v>1</v>
      </c>
      <c r="DJ10" s="67">
        <v>1</v>
      </c>
      <c r="DK10" s="67">
        <v>1</v>
      </c>
      <c r="DL10" s="67">
        <v>1</v>
      </c>
      <c r="DM10" s="67">
        <v>1</v>
      </c>
      <c r="DN10" s="67">
        <v>1</v>
      </c>
      <c r="DO10" s="67">
        <v>1</v>
      </c>
      <c r="DP10" s="67">
        <v>1</v>
      </c>
      <c r="DQ10" s="67">
        <v>1</v>
      </c>
      <c r="DR10" s="67"/>
      <c r="DS10" s="67"/>
      <c r="DT10" s="67"/>
      <c r="DU10" s="67">
        <v>1</v>
      </c>
      <c r="DV10" s="67">
        <v>1</v>
      </c>
      <c r="DW10" s="67">
        <v>1</v>
      </c>
      <c r="DX10" s="67">
        <v>1</v>
      </c>
      <c r="DY10" s="67">
        <v>1</v>
      </c>
      <c r="DZ10" s="67">
        <v>3</v>
      </c>
      <c r="EA10" s="67">
        <v>3</v>
      </c>
      <c r="EB10" s="67">
        <v>2</v>
      </c>
      <c r="EC10" s="67">
        <v>3</v>
      </c>
      <c r="ED10" s="67">
        <v>3</v>
      </c>
      <c r="EE10" s="67">
        <v>3</v>
      </c>
      <c r="EF10" s="67"/>
      <c r="EG10" s="67"/>
      <c r="EH10" s="67">
        <v>7</v>
      </c>
    </row>
    <row r="11" spans="1:138" x14ac:dyDescent="0.2">
      <c r="A11" s="77" t="s">
        <v>4055</v>
      </c>
      <c r="B11" s="77" t="s">
        <v>4056</v>
      </c>
      <c r="C11" s="77"/>
      <c r="D11" s="77"/>
      <c r="E11" s="77">
        <v>2</v>
      </c>
      <c r="F11" s="77"/>
      <c r="G11" s="77"/>
      <c r="H11" s="77">
        <v>2</v>
      </c>
      <c r="I11" s="77"/>
      <c r="J11" s="77"/>
      <c r="K11" s="77">
        <v>2</v>
      </c>
      <c r="L11" s="77"/>
      <c r="M11" s="77"/>
      <c r="N11" s="77"/>
      <c r="O11" s="77"/>
      <c r="P11" s="77"/>
      <c r="Q11" s="77"/>
      <c r="R11" s="77">
        <v>1</v>
      </c>
      <c r="S11" s="77">
        <v>5</v>
      </c>
      <c r="T11" s="77">
        <v>1</v>
      </c>
      <c r="U11" s="77">
        <v>55</v>
      </c>
      <c r="V11" s="12">
        <f t="shared" si="0"/>
        <v>6</v>
      </c>
      <c r="W11" s="12"/>
      <c r="X11" s="77" t="str">
        <f>Taulukko1[[#This Row],[Main Race]]</f>
        <v>Human</v>
      </c>
      <c r="Z11" s="12" t="s">
        <v>4056</v>
      </c>
      <c r="AA11" s="12">
        <v>6543</v>
      </c>
      <c r="AB11" s="12">
        <v>6543</v>
      </c>
      <c r="AC11" s="12">
        <v>7654</v>
      </c>
      <c r="AD11" s="12">
        <v>6543</v>
      </c>
      <c r="AE11" s="12">
        <v>6543</v>
      </c>
      <c r="AF11" s="12">
        <v>6543</v>
      </c>
      <c r="AG11" s="12">
        <v>6543</v>
      </c>
      <c r="AH11" s="12">
        <v>6421</v>
      </c>
      <c r="AJ11" s="20" t="s">
        <v>995</v>
      </c>
      <c r="AK11" s="12">
        <v>2</v>
      </c>
      <c r="AL11" s="12">
        <v>1</v>
      </c>
      <c r="AM11" s="12">
        <v>1</v>
      </c>
      <c r="AN11" s="12">
        <v>1</v>
      </c>
      <c r="AO11" s="12">
        <v>1</v>
      </c>
      <c r="AP11" s="12">
        <v>1</v>
      </c>
      <c r="AQ11" s="12">
        <v>2</v>
      </c>
      <c r="AR11" s="12">
        <v>1</v>
      </c>
      <c r="AS11" s="12">
        <v>1</v>
      </c>
      <c r="AT11" s="12">
        <v>1</v>
      </c>
      <c r="AU11" s="12">
        <v>2</v>
      </c>
      <c r="AV11" s="12">
        <v>1</v>
      </c>
      <c r="AW11" s="12">
        <v>1</v>
      </c>
      <c r="AX11" s="12">
        <v>2</v>
      </c>
      <c r="AY11" s="12">
        <v>1</v>
      </c>
      <c r="AZ11" s="12">
        <v>1</v>
      </c>
      <c r="BA11" s="12">
        <v>1</v>
      </c>
      <c r="BB11" s="12">
        <v>1</v>
      </c>
      <c r="BC11" s="12">
        <v>1</v>
      </c>
      <c r="BD11" s="12">
        <v>1</v>
      </c>
      <c r="BE11" s="12">
        <v>1</v>
      </c>
      <c r="BF11" s="12">
        <v>1</v>
      </c>
      <c r="BG11" s="12">
        <v>1</v>
      </c>
      <c r="BH11" s="12">
        <v>1</v>
      </c>
      <c r="BI11" s="12">
        <v>1</v>
      </c>
      <c r="BJ11" s="12">
        <v>1</v>
      </c>
      <c r="BK11" s="12">
        <v>1</v>
      </c>
      <c r="BL11" s="12">
        <v>1</v>
      </c>
      <c r="BM11" s="12">
        <v>1</v>
      </c>
      <c r="BN11" s="12">
        <v>1</v>
      </c>
      <c r="BO11" s="12">
        <v>1</v>
      </c>
      <c r="BP11" s="12">
        <v>1</v>
      </c>
      <c r="BQ11" s="12">
        <v>1</v>
      </c>
      <c r="BR11" s="12">
        <v>1</v>
      </c>
      <c r="BS11" s="12">
        <v>1</v>
      </c>
      <c r="BT11" s="12">
        <v>1</v>
      </c>
      <c r="BU11" s="12">
        <v>1</v>
      </c>
      <c r="BV11" s="12">
        <v>1</v>
      </c>
      <c r="BW11" s="67">
        <v>1</v>
      </c>
      <c r="BX11" s="67">
        <v>1</v>
      </c>
      <c r="BY11" s="67">
        <v>1</v>
      </c>
      <c r="BZ11" s="67">
        <v>1</v>
      </c>
      <c r="CA11" s="67">
        <v>1</v>
      </c>
      <c r="CB11" s="67">
        <v>1</v>
      </c>
      <c r="CC11" s="67">
        <v>1</v>
      </c>
      <c r="CD11" s="67">
        <v>1</v>
      </c>
      <c r="CE11" s="67">
        <v>1</v>
      </c>
      <c r="CF11" s="67">
        <v>1</v>
      </c>
      <c r="CG11" s="67">
        <v>1</v>
      </c>
      <c r="CH11" s="67">
        <v>1</v>
      </c>
      <c r="CI11" s="67">
        <v>1</v>
      </c>
      <c r="CJ11" s="67">
        <v>1</v>
      </c>
      <c r="CK11" s="67">
        <v>1</v>
      </c>
      <c r="CL11" s="67">
        <v>1</v>
      </c>
      <c r="CM11" s="67">
        <v>1</v>
      </c>
      <c r="CN11" s="67">
        <v>1</v>
      </c>
      <c r="CO11" s="67">
        <v>1</v>
      </c>
      <c r="CP11" s="67">
        <v>1</v>
      </c>
      <c r="CQ11" s="67">
        <v>1</v>
      </c>
      <c r="CR11" s="67">
        <v>1</v>
      </c>
      <c r="CS11" s="67">
        <v>1</v>
      </c>
      <c r="CT11" s="67">
        <v>1</v>
      </c>
      <c r="CU11" s="67">
        <v>1</v>
      </c>
      <c r="CV11" s="67">
        <v>1</v>
      </c>
      <c r="CW11" s="67">
        <v>1</v>
      </c>
      <c r="CX11" s="67">
        <v>1</v>
      </c>
      <c r="CY11" s="67">
        <v>1</v>
      </c>
      <c r="CZ11" s="67">
        <v>1</v>
      </c>
      <c r="DA11" s="67">
        <v>1</v>
      </c>
      <c r="DB11" s="67">
        <v>1</v>
      </c>
      <c r="DC11" s="67">
        <v>1</v>
      </c>
      <c r="DD11" s="67">
        <v>1</v>
      </c>
      <c r="DE11" s="67">
        <v>1</v>
      </c>
      <c r="DF11" s="67">
        <v>1</v>
      </c>
      <c r="DG11" s="67">
        <v>1</v>
      </c>
      <c r="DH11" s="67">
        <v>1</v>
      </c>
      <c r="DI11" s="67">
        <v>1</v>
      </c>
      <c r="DJ11" s="67">
        <v>1</v>
      </c>
      <c r="DK11" s="67">
        <v>1</v>
      </c>
      <c r="DL11" s="67">
        <v>1</v>
      </c>
      <c r="DM11" s="67">
        <v>1</v>
      </c>
      <c r="DN11" s="67">
        <v>1</v>
      </c>
      <c r="DO11" s="67">
        <v>1</v>
      </c>
      <c r="DP11" s="67">
        <v>1</v>
      </c>
      <c r="DQ11" s="67">
        <v>1</v>
      </c>
      <c r="DR11" s="67"/>
      <c r="DS11" s="67"/>
      <c r="DT11" s="67"/>
      <c r="DU11" s="67">
        <v>1</v>
      </c>
      <c r="DV11" s="67">
        <v>1</v>
      </c>
      <c r="DW11" s="67">
        <v>1</v>
      </c>
      <c r="DX11" s="67">
        <v>1</v>
      </c>
      <c r="DY11" s="67">
        <v>1</v>
      </c>
      <c r="DZ11" s="67">
        <v>1</v>
      </c>
      <c r="EA11" s="67">
        <v>1</v>
      </c>
      <c r="EB11" s="67">
        <v>1</v>
      </c>
      <c r="EC11" s="67">
        <v>1</v>
      </c>
      <c r="ED11" s="67">
        <v>1</v>
      </c>
      <c r="EE11" s="67">
        <v>1</v>
      </c>
      <c r="EF11" s="67"/>
      <c r="EG11" s="67"/>
      <c r="EH11" s="67">
        <v>8</v>
      </c>
    </row>
    <row r="12" spans="1:138" x14ac:dyDescent="0.2">
      <c r="A12" s="77" t="s">
        <v>917</v>
      </c>
      <c r="B12" s="77" t="s">
        <v>928</v>
      </c>
      <c r="C12" s="77">
        <v>4</v>
      </c>
      <c r="D12" s="77"/>
      <c r="E12" s="77"/>
      <c r="F12" s="77"/>
      <c r="G12" s="77"/>
      <c r="H12" s="77">
        <v>4</v>
      </c>
      <c r="I12" s="77"/>
      <c r="J12" s="77">
        <v>2</v>
      </c>
      <c r="K12" s="77"/>
      <c r="L12" s="77"/>
      <c r="M12" s="77"/>
      <c r="N12" s="77"/>
      <c r="O12" s="77"/>
      <c r="P12" s="77">
        <v>5</v>
      </c>
      <c r="Q12" s="77">
        <v>15</v>
      </c>
      <c r="R12" s="77">
        <v>10</v>
      </c>
      <c r="S12" s="77">
        <v>5</v>
      </c>
      <c r="T12" s="77">
        <v>0.75</v>
      </c>
      <c r="U12" s="77">
        <v>40</v>
      </c>
      <c r="V12" s="12">
        <f t="shared" si="0"/>
        <v>10</v>
      </c>
      <c r="W12" s="12"/>
      <c r="X12" s="77" t="str">
        <f>Taulukko1[[#This Row],[Main Race]]</f>
        <v>High Man</v>
      </c>
      <c r="Z12" s="12" t="s">
        <v>928</v>
      </c>
      <c r="AA12" s="12">
        <v>6543</v>
      </c>
      <c r="AB12" s="12">
        <v>6543</v>
      </c>
      <c r="AC12" s="12">
        <v>7654</v>
      </c>
      <c r="AD12" s="12">
        <v>6453</v>
      </c>
      <c r="AE12" s="12">
        <v>6543</v>
      </c>
      <c r="AF12" s="12">
        <v>6543</v>
      </c>
      <c r="AG12" s="12">
        <v>6543</v>
      </c>
      <c r="AH12" s="12">
        <v>7531</v>
      </c>
      <c r="AJ12" s="12" t="s">
        <v>433</v>
      </c>
      <c r="AK12" s="12"/>
      <c r="AL12" s="12">
        <v>1</v>
      </c>
      <c r="AM12" s="12">
        <v>2</v>
      </c>
      <c r="AN12" s="12"/>
      <c r="AO12" s="12"/>
      <c r="AP12" s="12"/>
      <c r="AQ12" s="12">
        <v>10</v>
      </c>
      <c r="AR12" s="12">
        <v>1</v>
      </c>
      <c r="AS12" s="12">
        <v>2</v>
      </c>
      <c r="AT12" s="12">
        <v>2</v>
      </c>
      <c r="AU12" s="12">
        <v>2</v>
      </c>
      <c r="AV12" s="12">
        <v>3</v>
      </c>
      <c r="AW12" s="12">
        <v>1</v>
      </c>
      <c r="AX12" s="12">
        <v>2</v>
      </c>
      <c r="AY12" s="12">
        <v>1</v>
      </c>
      <c r="AZ12" s="12"/>
      <c r="BA12" s="12"/>
      <c r="BB12" s="12">
        <v>1</v>
      </c>
      <c r="BC12" s="12"/>
      <c r="BD12" s="12"/>
      <c r="BE12" s="12"/>
      <c r="BF12" s="12">
        <v>1</v>
      </c>
      <c r="BG12" s="12">
        <v>1</v>
      </c>
      <c r="BH12" s="12">
        <v>1</v>
      </c>
      <c r="BI12" s="12"/>
      <c r="BJ12" s="12"/>
      <c r="BK12" s="12">
        <v>5</v>
      </c>
      <c r="BL12" s="12"/>
      <c r="BM12" s="12">
        <v>1</v>
      </c>
      <c r="BN12" s="12"/>
      <c r="BO12" s="12">
        <v>1</v>
      </c>
      <c r="BP12" s="12"/>
      <c r="BQ12" s="12">
        <v>1</v>
      </c>
      <c r="BR12" s="12"/>
      <c r="BS12" s="12"/>
      <c r="BT12" s="12">
        <v>1</v>
      </c>
      <c r="BU12" s="12"/>
      <c r="BV12" s="12"/>
      <c r="BW12" s="67">
        <v>1</v>
      </c>
      <c r="BX12" s="67">
        <v>1</v>
      </c>
      <c r="BY12" s="67">
        <v>1</v>
      </c>
      <c r="BZ12" s="67">
        <v>1</v>
      </c>
      <c r="CA12" s="67">
        <v>1</v>
      </c>
      <c r="CB12" s="67">
        <v>1</v>
      </c>
      <c r="CC12" s="67">
        <v>1</v>
      </c>
      <c r="CD12" s="67">
        <v>1</v>
      </c>
      <c r="CE12" s="67">
        <v>5</v>
      </c>
      <c r="CF12" s="67">
        <v>5</v>
      </c>
      <c r="CG12" s="67">
        <v>1</v>
      </c>
      <c r="CH12" s="67">
        <v>1</v>
      </c>
      <c r="CI12" s="67">
        <v>1</v>
      </c>
      <c r="CJ12" s="67"/>
      <c r="CK12" s="67">
        <v>3</v>
      </c>
      <c r="CL12" s="67">
        <v>2</v>
      </c>
      <c r="CM12" s="67">
        <v>3</v>
      </c>
      <c r="CN12" s="67">
        <v>2</v>
      </c>
      <c r="CO12" s="67">
        <v>1</v>
      </c>
      <c r="CP12" s="67"/>
      <c r="CQ12" s="67">
        <v>1</v>
      </c>
      <c r="CR12" s="67">
        <v>1</v>
      </c>
      <c r="CS12" s="67">
        <v>1</v>
      </c>
      <c r="CT12" s="67"/>
      <c r="CU12" s="67">
        <v>5</v>
      </c>
      <c r="CV12" s="67">
        <v>3</v>
      </c>
      <c r="CW12" s="67">
        <v>5</v>
      </c>
      <c r="CX12" s="67">
        <v>1</v>
      </c>
      <c r="CY12" s="67">
        <v>1</v>
      </c>
      <c r="CZ12" s="67"/>
      <c r="DA12" s="67">
        <v>1</v>
      </c>
      <c r="DB12" s="67"/>
      <c r="DC12" s="67">
        <v>1</v>
      </c>
      <c r="DD12" s="67">
        <v>0</v>
      </c>
      <c r="DE12" s="67">
        <v>2</v>
      </c>
      <c r="DF12" s="67">
        <v>2</v>
      </c>
      <c r="DG12" s="67">
        <v>2</v>
      </c>
      <c r="DH12" s="67">
        <v>3</v>
      </c>
      <c r="DI12" s="67"/>
      <c r="DJ12" s="67"/>
      <c r="DK12" s="67"/>
      <c r="DL12" s="67"/>
      <c r="DM12" s="67"/>
      <c r="DN12" s="67"/>
      <c r="DO12" s="67"/>
      <c r="DP12" s="67"/>
      <c r="DQ12" s="67"/>
      <c r="DR12" s="67"/>
      <c r="DS12" s="67"/>
      <c r="DT12" s="67"/>
      <c r="DU12" s="67">
        <v>1</v>
      </c>
      <c r="DV12" s="67"/>
      <c r="DW12" s="67"/>
      <c r="DX12" s="67"/>
      <c r="DY12" s="67"/>
      <c r="DZ12" s="67"/>
      <c r="EA12" s="67"/>
      <c r="EB12" s="67"/>
      <c r="EC12" s="67"/>
      <c r="ED12" s="67"/>
      <c r="EE12" s="67"/>
      <c r="EF12" s="67"/>
      <c r="EG12" s="67"/>
      <c r="EH12" s="67">
        <v>9</v>
      </c>
    </row>
    <row r="13" spans="1:138" x14ac:dyDescent="0.2">
      <c r="A13" s="77" t="s">
        <v>992</v>
      </c>
      <c r="B13" s="77" t="s">
        <v>959</v>
      </c>
      <c r="C13" s="77">
        <v>14</v>
      </c>
      <c r="D13" s="77">
        <v>-4</v>
      </c>
      <c r="E13" s="77">
        <v>-4</v>
      </c>
      <c r="F13" s="77">
        <v>-4</v>
      </c>
      <c r="G13" s="77">
        <v>-6</v>
      </c>
      <c r="H13" s="77">
        <v>14</v>
      </c>
      <c r="I13" s="77">
        <v>-4</v>
      </c>
      <c r="J13" s="77">
        <v>-4</v>
      </c>
      <c r="K13" s="77">
        <v>-4</v>
      </c>
      <c r="L13" s="77">
        <v>-6</v>
      </c>
      <c r="M13" s="77"/>
      <c r="N13" s="77"/>
      <c r="O13" s="77"/>
      <c r="P13" s="77">
        <v>30</v>
      </c>
      <c r="Q13" s="77">
        <v>10</v>
      </c>
      <c r="R13" s="77">
        <v>1</v>
      </c>
      <c r="S13" s="77">
        <v>2</v>
      </c>
      <c r="T13" s="77">
        <v>0.5</v>
      </c>
      <c r="U13" s="77">
        <f>S13*10</f>
        <v>20</v>
      </c>
      <c r="V13" s="12">
        <f t="shared" si="0"/>
        <v>-8</v>
      </c>
      <c r="W13" s="12"/>
      <c r="X13" s="77" t="str">
        <f>Taulukko1[[#This Row],[Main Race]]</f>
        <v>Troll</v>
      </c>
      <c r="Z13" s="12" t="s">
        <v>959</v>
      </c>
      <c r="AA13" s="12">
        <v>2111</v>
      </c>
      <c r="AB13" s="12">
        <v>2111</v>
      </c>
      <c r="AC13" s="12">
        <v>2111</v>
      </c>
      <c r="AD13" s="12">
        <v>2111</v>
      </c>
      <c r="AE13" s="12">
        <v>2111</v>
      </c>
      <c r="AF13" s="12">
        <v>2111</v>
      </c>
      <c r="AG13" s="12">
        <v>2111</v>
      </c>
      <c r="AH13" s="12">
        <v>9853</v>
      </c>
      <c r="AJ13" s="20" t="s">
        <v>1007</v>
      </c>
      <c r="AK13" s="12">
        <v>1</v>
      </c>
      <c r="AL13" s="12">
        <v>1</v>
      </c>
      <c r="AM13" s="12">
        <v>1</v>
      </c>
      <c r="AN13" s="12">
        <v>1</v>
      </c>
      <c r="AO13" s="12">
        <v>1</v>
      </c>
      <c r="AP13" s="12">
        <v>1</v>
      </c>
      <c r="AQ13" s="12"/>
      <c r="AR13" s="12">
        <v>1</v>
      </c>
      <c r="AS13" s="12">
        <v>1</v>
      </c>
      <c r="AT13" s="12">
        <v>1</v>
      </c>
      <c r="AU13" s="12">
        <v>2</v>
      </c>
      <c r="AV13" s="12">
        <v>1</v>
      </c>
      <c r="AW13" s="12">
        <v>1</v>
      </c>
      <c r="AX13" s="12">
        <v>2</v>
      </c>
      <c r="AY13" s="12">
        <v>1</v>
      </c>
      <c r="AZ13" s="12">
        <v>1</v>
      </c>
      <c r="BA13" s="12">
        <v>1</v>
      </c>
      <c r="BB13" s="12">
        <v>1</v>
      </c>
      <c r="BC13" s="12">
        <v>1</v>
      </c>
      <c r="BD13" s="12">
        <v>1</v>
      </c>
      <c r="BE13" s="12">
        <v>1</v>
      </c>
      <c r="BF13" s="12">
        <v>1</v>
      </c>
      <c r="BG13" s="12">
        <v>1</v>
      </c>
      <c r="BH13" s="12">
        <v>1</v>
      </c>
      <c r="BI13" s="12">
        <v>1</v>
      </c>
      <c r="BJ13" s="12">
        <v>1</v>
      </c>
      <c r="BK13" s="12">
        <v>1</v>
      </c>
      <c r="BL13" s="12">
        <v>1</v>
      </c>
      <c r="BM13" s="12">
        <v>1</v>
      </c>
      <c r="BN13" s="12">
        <v>1</v>
      </c>
      <c r="BO13" s="12">
        <v>1</v>
      </c>
      <c r="BP13" s="12">
        <v>1</v>
      </c>
      <c r="BQ13" s="12">
        <v>1</v>
      </c>
      <c r="BR13" s="12">
        <v>1</v>
      </c>
      <c r="BS13" s="12">
        <v>1</v>
      </c>
      <c r="BT13" s="12">
        <v>1</v>
      </c>
      <c r="BU13" s="12">
        <v>1</v>
      </c>
      <c r="BV13" s="12">
        <v>1</v>
      </c>
      <c r="BW13" s="67">
        <v>1</v>
      </c>
      <c r="BX13" s="67">
        <v>1</v>
      </c>
      <c r="BY13" s="67">
        <v>1</v>
      </c>
      <c r="BZ13" s="67">
        <v>1</v>
      </c>
      <c r="CA13" s="67">
        <v>1</v>
      </c>
      <c r="CB13" s="67">
        <v>1</v>
      </c>
      <c r="CC13" s="67">
        <v>1</v>
      </c>
      <c r="CD13" s="67">
        <v>1</v>
      </c>
      <c r="CE13" s="67">
        <v>1</v>
      </c>
      <c r="CF13" s="67">
        <v>1</v>
      </c>
      <c r="CG13" s="67">
        <v>1</v>
      </c>
      <c r="CH13" s="67">
        <v>1</v>
      </c>
      <c r="CI13" s="67">
        <v>1</v>
      </c>
      <c r="CJ13" s="67">
        <v>1</v>
      </c>
      <c r="CK13" s="67">
        <v>1</v>
      </c>
      <c r="CL13" s="67">
        <v>1</v>
      </c>
      <c r="CM13" s="67">
        <v>1</v>
      </c>
      <c r="CN13" s="67">
        <v>1</v>
      </c>
      <c r="CO13" s="67">
        <v>1</v>
      </c>
      <c r="CP13" s="67">
        <v>1</v>
      </c>
      <c r="CQ13" s="67">
        <v>1</v>
      </c>
      <c r="CR13" s="67">
        <v>1</v>
      </c>
      <c r="CS13" s="67">
        <v>1</v>
      </c>
      <c r="CT13" s="67">
        <v>1</v>
      </c>
      <c r="CU13" s="67">
        <v>1</v>
      </c>
      <c r="CV13" s="67">
        <v>1</v>
      </c>
      <c r="CW13" s="67">
        <v>1</v>
      </c>
      <c r="CX13" s="67">
        <v>1</v>
      </c>
      <c r="CY13" s="67">
        <v>1</v>
      </c>
      <c r="CZ13" s="67">
        <v>1</v>
      </c>
      <c r="DA13" s="67">
        <v>1</v>
      </c>
      <c r="DB13" s="67">
        <v>1</v>
      </c>
      <c r="DC13" s="67">
        <v>1</v>
      </c>
      <c r="DD13" s="67">
        <v>1</v>
      </c>
      <c r="DE13" s="67">
        <v>1</v>
      </c>
      <c r="DF13" s="67">
        <v>1</v>
      </c>
      <c r="DG13" s="67">
        <v>1</v>
      </c>
      <c r="DH13" s="67">
        <v>1</v>
      </c>
      <c r="DI13" s="67">
        <v>1</v>
      </c>
      <c r="DJ13" s="67">
        <v>1</v>
      </c>
      <c r="DK13" s="67">
        <v>1</v>
      </c>
      <c r="DL13" s="67">
        <v>1</v>
      </c>
      <c r="DM13" s="67">
        <v>1</v>
      </c>
      <c r="DN13" s="67">
        <v>1</v>
      </c>
      <c r="DO13" s="67">
        <v>1</v>
      </c>
      <c r="DP13" s="67">
        <v>1</v>
      </c>
      <c r="DQ13" s="67">
        <v>1</v>
      </c>
      <c r="DR13" s="67"/>
      <c r="DS13" s="67"/>
      <c r="DT13" s="67"/>
      <c r="DU13" s="67">
        <v>1</v>
      </c>
      <c r="DV13" s="67">
        <v>1</v>
      </c>
      <c r="DW13" s="67">
        <v>1</v>
      </c>
      <c r="DX13" s="67">
        <v>1</v>
      </c>
      <c r="DY13" s="67">
        <v>1</v>
      </c>
      <c r="DZ13" s="67">
        <v>1</v>
      </c>
      <c r="EA13" s="67">
        <v>1</v>
      </c>
      <c r="EB13" s="67">
        <v>1</v>
      </c>
      <c r="EC13" s="67">
        <v>1</v>
      </c>
      <c r="ED13" s="67">
        <v>1</v>
      </c>
      <c r="EE13" s="67">
        <v>1</v>
      </c>
      <c r="EF13" s="67"/>
      <c r="EG13" s="67"/>
      <c r="EH13" s="67">
        <v>10</v>
      </c>
    </row>
    <row r="14" spans="1:138" x14ac:dyDescent="0.2">
      <c r="A14" s="77" t="s">
        <v>1015</v>
      </c>
      <c r="B14" s="77" t="s">
        <v>889</v>
      </c>
      <c r="C14" s="77">
        <v>2</v>
      </c>
      <c r="D14" s="77">
        <v>2</v>
      </c>
      <c r="E14" s="77"/>
      <c r="F14" s="77"/>
      <c r="G14" s="77"/>
      <c r="H14" s="77">
        <v>2</v>
      </c>
      <c r="I14" s="77">
        <v>2</v>
      </c>
      <c r="J14" s="77">
        <v>-2</v>
      </c>
      <c r="K14" s="77">
        <v>2</v>
      </c>
      <c r="L14" s="77">
        <v>-2</v>
      </c>
      <c r="M14" s="77"/>
      <c r="N14" s="77"/>
      <c r="O14" s="77"/>
      <c r="P14" s="77"/>
      <c r="Q14" s="77"/>
      <c r="R14" s="77">
        <v>12</v>
      </c>
      <c r="S14" s="77">
        <v>5</v>
      </c>
      <c r="T14" s="77">
        <v>1</v>
      </c>
      <c r="U14" s="77">
        <f>S14*10</f>
        <v>50</v>
      </c>
      <c r="V14" s="12">
        <f t="shared" si="0"/>
        <v>6</v>
      </c>
      <c r="W14" s="12"/>
      <c r="X14" s="77" t="str">
        <f>Taulukko1[[#This Row],[Main Race]]</f>
        <v>Dark Tribes</v>
      </c>
      <c r="Z14" s="12" t="s">
        <v>889</v>
      </c>
      <c r="AA14" s="12">
        <v>6543</v>
      </c>
      <c r="AB14" s="12">
        <v>6543</v>
      </c>
      <c r="AC14" s="12">
        <v>7654</v>
      </c>
      <c r="AD14" s="12">
        <v>6543</v>
      </c>
      <c r="AE14" s="12">
        <v>6543</v>
      </c>
      <c r="AF14" s="12">
        <v>6543</v>
      </c>
      <c r="AG14" s="12">
        <v>6543</v>
      </c>
      <c r="AH14" s="12">
        <v>6521</v>
      </c>
      <c r="AJ14" s="12" t="s">
        <v>439</v>
      </c>
      <c r="AK14" s="12">
        <v>1</v>
      </c>
      <c r="AL14" s="12">
        <v>1</v>
      </c>
      <c r="AM14" s="12">
        <v>1</v>
      </c>
      <c r="AN14" s="12">
        <v>1</v>
      </c>
      <c r="AO14" s="12">
        <v>1</v>
      </c>
      <c r="AP14" s="12">
        <v>1</v>
      </c>
      <c r="AQ14" s="12"/>
      <c r="AR14" s="12">
        <v>1</v>
      </c>
      <c r="AS14" s="12">
        <v>1</v>
      </c>
      <c r="AT14" s="12"/>
      <c r="AU14" s="12">
        <v>2</v>
      </c>
      <c r="AV14" s="12">
        <v>2</v>
      </c>
      <c r="AW14" s="12">
        <v>1</v>
      </c>
      <c r="AX14" s="12">
        <v>2</v>
      </c>
      <c r="AY14" s="12">
        <v>1</v>
      </c>
      <c r="AZ14" s="12">
        <v>1</v>
      </c>
      <c r="BA14" s="12">
        <v>2</v>
      </c>
      <c r="BB14" s="12">
        <v>1</v>
      </c>
      <c r="BC14" s="12"/>
      <c r="BD14" s="12"/>
      <c r="BE14" s="12"/>
      <c r="BF14" s="12">
        <v>1</v>
      </c>
      <c r="BG14" s="12">
        <v>1</v>
      </c>
      <c r="BH14" s="12">
        <v>1</v>
      </c>
      <c r="BI14" s="12"/>
      <c r="BJ14" s="12"/>
      <c r="BK14" s="12">
        <v>1</v>
      </c>
      <c r="BL14" s="12"/>
      <c r="BM14" s="12">
        <v>1</v>
      </c>
      <c r="BN14" s="12"/>
      <c r="BO14" s="12">
        <v>1</v>
      </c>
      <c r="BP14" s="12"/>
      <c r="BQ14" s="12">
        <v>1</v>
      </c>
      <c r="BR14" s="12">
        <v>3</v>
      </c>
      <c r="BS14" s="12"/>
      <c r="BT14" s="12"/>
      <c r="BU14" s="12">
        <v>1</v>
      </c>
      <c r="BV14" s="12">
        <v>1</v>
      </c>
      <c r="BW14" s="67">
        <v>2</v>
      </c>
      <c r="BX14" s="67">
        <v>5</v>
      </c>
      <c r="BY14" s="67"/>
      <c r="BZ14" s="67"/>
      <c r="CA14" s="67"/>
      <c r="CB14" s="67"/>
      <c r="CC14" s="67"/>
      <c r="CD14" s="67"/>
      <c r="CE14" s="67"/>
      <c r="CF14" s="67">
        <v>1</v>
      </c>
      <c r="CG14" s="67"/>
      <c r="CH14" s="67"/>
      <c r="CI14" s="67"/>
      <c r="CJ14" s="67">
        <v>1</v>
      </c>
      <c r="CK14" s="67"/>
      <c r="CL14" s="67"/>
      <c r="CM14" s="67">
        <v>2</v>
      </c>
      <c r="CN14" s="67">
        <v>1</v>
      </c>
      <c r="CO14" s="67">
        <v>1</v>
      </c>
      <c r="CP14" s="67"/>
      <c r="CQ14" s="67">
        <v>1</v>
      </c>
      <c r="CR14" s="67"/>
      <c r="CS14" s="67"/>
      <c r="CT14" s="67"/>
      <c r="CU14" s="67"/>
      <c r="CV14" s="67"/>
      <c r="CW14" s="67"/>
      <c r="CX14" s="67">
        <v>3</v>
      </c>
      <c r="CY14" s="67"/>
      <c r="CZ14" s="67"/>
      <c r="DA14" s="67"/>
      <c r="DB14" s="67">
        <v>1</v>
      </c>
      <c r="DC14" s="67">
        <v>1</v>
      </c>
      <c r="DD14" s="67">
        <v>2</v>
      </c>
      <c r="DE14" s="67"/>
      <c r="DF14" s="67"/>
      <c r="DG14" s="67"/>
      <c r="DH14" s="67"/>
      <c r="DI14" s="67"/>
      <c r="DJ14" s="67"/>
      <c r="DK14" s="67"/>
      <c r="DL14" s="67"/>
      <c r="DM14" s="67"/>
      <c r="DN14" s="67"/>
      <c r="DO14" s="67"/>
      <c r="DP14" s="67"/>
      <c r="DQ14" s="67"/>
      <c r="DR14" s="67"/>
      <c r="DS14" s="67"/>
      <c r="DT14" s="67"/>
      <c r="DU14" s="67"/>
      <c r="DV14" s="67">
        <v>5</v>
      </c>
      <c r="DW14" s="67">
        <v>1</v>
      </c>
      <c r="DX14" s="67">
        <v>1</v>
      </c>
      <c r="DY14" s="67">
        <v>1</v>
      </c>
      <c r="DZ14" s="67">
        <v>1</v>
      </c>
      <c r="EA14" s="67"/>
      <c r="EB14" s="67">
        <v>1</v>
      </c>
      <c r="EC14" s="67">
        <v>1</v>
      </c>
      <c r="ED14" s="67">
        <v>1</v>
      </c>
      <c r="EE14" s="67">
        <v>1</v>
      </c>
      <c r="EF14" s="67"/>
      <c r="EG14" s="67"/>
      <c r="EH14" s="67">
        <v>11</v>
      </c>
    </row>
    <row r="15" spans="1:138" x14ac:dyDescent="0.2">
      <c r="A15" s="77" t="s">
        <v>4055</v>
      </c>
      <c r="B15" s="77" t="s">
        <v>4057</v>
      </c>
      <c r="C15" s="77">
        <v>2</v>
      </c>
      <c r="D15" s="77"/>
      <c r="E15" s="77">
        <v>2</v>
      </c>
      <c r="F15" s="77"/>
      <c r="G15" s="77"/>
      <c r="H15" s="77">
        <v>2</v>
      </c>
      <c r="I15" s="77"/>
      <c r="J15" s="77">
        <v>2</v>
      </c>
      <c r="K15" s="77"/>
      <c r="L15" s="77"/>
      <c r="M15" s="77"/>
      <c r="N15" s="77"/>
      <c r="O15" s="77"/>
      <c r="P15" s="77"/>
      <c r="Q15" s="77"/>
      <c r="R15" s="77">
        <v>1</v>
      </c>
      <c r="S15" s="77">
        <v>5</v>
      </c>
      <c r="T15" s="77">
        <v>0.9</v>
      </c>
      <c r="U15" s="77">
        <v>50</v>
      </c>
      <c r="V15" s="12">
        <f t="shared" si="0"/>
        <v>8</v>
      </c>
      <c r="W15" s="12"/>
      <c r="X15" s="77" t="str">
        <f>Taulukko1[[#This Row],[Main Race]]</f>
        <v>Human</v>
      </c>
      <c r="Z15" s="12" t="s">
        <v>4057</v>
      </c>
      <c r="AA15" s="12">
        <v>6543</v>
      </c>
      <c r="AB15" s="12">
        <v>6543</v>
      </c>
      <c r="AC15" s="12">
        <v>7654</v>
      </c>
      <c r="AD15" s="12">
        <v>6543</v>
      </c>
      <c r="AE15" s="12">
        <v>6543</v>
      </c>
      <c r="AF15" s="12">
        <v>6543</v>
      </c>
      <c r="AG15" s="12">
        <v>6543</v>
      </c>
      <c r="AH15" s="12">
        <v>6521</v>
      </c>
      <c r="AJ15" s="20" t="s">
        <v>5543</v>
      </c>
      <c r="AK15" s="12"/>
      <c r="AL15" s="12"/>
      <c r="AM15" s="12"/>
      <c r="AN15" s="12"/>
      <c r="AO15" s="12"/>
      <c r="AP15" s="12"/>
      <c r="AQ15" s="12"/>
      <c r="AR15" s="12"/>
      <c r="AS15" s="12"/>
      <c r="AT15" s="12"/>
      <c r="AU15" s="12"/>
      <c r="AV15" s="12"/>
      <c r="AW15" s="12"/>
      <c r="AX15" s="12"/>
      <c r="AY15" s="12"/>
      <c r="AZ15" s="12"/>
      <c r="BA15" s="12"/>
      <c r="BB15" s="12"/>
      <c r="BC15" s="12"/>
      <c r="BD15" s="12"/>
      <c r="BE15" s="12"/>
      <c r="BF15" s="12"/>
      <c r="BG15" s="12"/>
      <c r="BH15" s="12"/>
      <c r="BI15" s="12"/>
      <c r="BJ15" s="12"/>
      <c r="BK15" s="12"/>
      <c r="BL15" s="12"/>
      <c r="BM15" s="12"/>
      <c r="BN15" s="12"/>
      <c r="BO15" s="12"/>
      <c r="BP15" s="12"/>
      <c r="BQ15" s="12"/>
      <c r="BR15" s="12"/>
      <c r="BS15" s="12"/>
      <c r="BT15" s="12"/>
      <c r="BU15" s="12"/>
      <c r="BV15" s="12"/>
      <c r="BW15" s="67"/>
      <c r="BX15" s="67"/>
      <c r="BY15" s="67"/>
      <c r="BZ15" s="67"/>
      <c r="CA15" s="67"/>
      <c r="CB15" s="67"/>
      <c r="CC15" s="67"/>
      <c r="CD15" s="67"/>
      <c r="CE15" s="67"/>
      <c r="CF15" s="67"/>
      <c r="CG15" s="67"/>
      <c r="CH15" s="67"/>
      <c r="CI15" s="67"/>
      <c r="CJ15" s="67"/>
      <c r="CK15" s="67"/>
      <c r="CL15" s="67"/>
      <c r="CM15" s="67"/>
      <c r="CN15" s="67"/>
      <c r="CO15" s="67"/>
      <c r="CP15" s="67"/>
      <c r="CQ15" s="67"/>
      <c r="CR15" s="67"/>
      <c r="CS15" s="67"/>
      <c r="CT15" s="67"/>
      <c r="CU15" s="67"/>
      <c r="CV15" s="67"/>
      <c r="CW15" s="67"/>
      <c r="CX15" s="67"/>
      <c r="CY15" s="67"/>
      <c r="CZ15" s="67"/>
      <c r="DA15" s="67"/>
      <c r="DB15" s="67"/>
      <c r="DC15" s="67"/>
      <c r="DD15" s="67"/>
      <c r="DE15" s="67"/>
      <c r="DF15" s="67"/>
      <c r="DG15" s="67"/>
      <c r="DH15" s="67"/>
      <c r="DI15" s="67"/>
      <c r="DJ15" s="67"/>
      <c r="DK15" s="67"/>
      <c r="DL15" s="67"/>
      <c r="DM15" s="67"/>
      <c r="DN15" s="67"/>
      <c r="DO15" s="67"/>
      <c r="DP15" s="67"/>
      <c r="DQ15" s="67"/>
      <c r="DR15" s="67"/>
      <c r="DS15" s="67"/>
      <c r="DT15" s="67"/>
      <c r="DU15" s="67"/>
      <c r="DV15" s="67"/>
      <c r="DW15" s="67"/>
      <c r="DX15" s="67"/>
      <c r="DY15" s="67"/>
      <c r="DZ15" s="67"/>
      <c r="EA15" s="67"/>
      <c r="EB15" s="67"/>
      <c r="EC15" s="67"/>
      <c r="ED15" s="67"/>
      <c r="EE15" s="67"/>
      <c r="EF15" s="67"/>
      <c r="EG15" s="67"/>
      <c r="EH15" s="67">
        <v>12</v>
      </c>
    </row>
    <row r="16" spans="1:138" x14ac:dyDescent="0.2">
      <c r="A16" s="77" t="s">
        <v>994</v>
      </c>
      <c r="B16" s="77" t="s">
        <v>894</v>
      </c>
      <c r="C16" s="77">
        <v>4</v>
      </c>
      <c r="D16" s="77">
        <v>-2</v>
      </c>
      <c r="E16" s="77">
        <v>-8</v>
      </c>
      <c r="F16" s="77">
        <v>-4</v>
      </c>
      <c r="G16" s="77">
        <v>-4</v>
      </c>
      <c r="H16" s="77">
        <v>2</v>
      </c>
      <c r="I16" s="77">
        <v>2</v>
      </c>
      <c r="J16" s="77">
        <v>-4</v>
      </c>
      <c r="K16" s="77">
        <v>-4</v>
      </c>
      <c r="L16" s="77">
        <v>-4</v>
      </c>
      <c r="M16" s="77"/>
      <c r="N16" s="77"/>
      <c r="O16" s="77"/>
      <c r="P16" s="77">
        <v>20</v>
      </c>
      <c r="Q16" s="77">
        <v>5</v>
      </c>
      <c r="R16" s="77">
        <v>1</v>
      </c>
      <c r="S16" s="77">
        <v>5</v>
      </c>
      <c r="T16" s="77">
        <v>0.5</v>
      </c>
      <c r="U16" s="77">
        <v>60</v>
      </c>
      <c r="V16" s="12">
        <f t="shared" si="0"/>
        <v>-22</v>
      </c>
      <c r="W16" s="12"/>
      <c r="X16" s="77" t="str">
        <f>Taulukko1[[#This Row],[Main Race]]</f>
        <v>Orc</v>
      </c>
      <c r="Z16" s="12" t="s">
        <v>894</v>
      </c>
      <c r="AA16" s="12">
        <v>3211</v>
      </c>
      <c r="AB16" s="12">
        <v>6543</v>
      </c>
      <c r="AC16" s="12">
        <v>3211</v>
      </c>
      <c r="AD16" s="12">
        <v>5322</v>
      </c>
      <c r="AE16" s="12">
        <v>3211</v>
      </c>
      <c r="AF16" s="12">
        <v>5322</v>
      </c>
      <c r="AG16" s="12">
        <v>4321</v>
      </c>
      <c r="AH16" s="12">
        <v>6421</v>
      </c>
      <c r="AJ16" s="12" t="s">
        <v>460</v>
      </c>
      <c r="AK16" s="12">
        <v>2</v>
      </c>
      <c r="AL16" s="12">
        <v>6</v>
      </c>
      <c r="AM16" s="12">
        <v>6</v>
      </c>
      <c r="AN16" s="12">
        <v>4</v>
      </c>
      <c r="AO16" s="12">
        <v>4</v>
      </c>
      <c r="AP16" s="12">
        <v>4</v>
      </c>
      <c r="AQ16" s="12">
        <v>4</v>
      </c>
      <c r="AR16" s="12">
        <v>2</v>
      </c>
      <c r="AS16" s="12">
        <v>6</v>
      </c>
      <c r="AT16" s="12">
        <v>6</v>
      </c>
      <c r="AU16" s="12">
        <v>6</v>
      </c>
      <c r="AV16" s="12">
        <v>6</v>
      </c>
      <c r="AW16" s="12">
        <v>4</v>
      </c>
      <c r="AX16" s="12">
        <v>4</v>
      </c>
      <c r="AY16" s="12">
        <v>4</v>
      </c>
      <c r="AZ16" s="12">
        <v>8</v>
      </c>
      <c r="BA16" s="12">
        <v>8</v>
      </c>
      <c r="BB16" s="12">
        <v>8</v>
      </c>
      <c r="BC16" s="12">
        <v>2</v>
      </c>
      <c r="BD16" s="12">
        <v>2</v>
      </c>
      <c r="BE16" s="12">
        <v>2</v>
      </c>
      <c r="BF16" s="12">
        <v>3</v>
      </c>
      <c r="BG16" s="12">
        <v>2</v>
      </c>
      <c r="BH16" s="12">
        <v>2</v>
      </c>
      <c r="BI16" s="12">
        <v>2</v>
      </c>
      <c r="BJ16" s="12">
        <v>2</v>
      </c>
      <c r="BK16" s="12">
        <v>2</v>
      </c>
      <c r="BL16" s="12">
        <v>2</v>
      </c>
      <c r="BM16" s="12">
        <v>2</v>
      </c>
      <c r="BN16" s="12">
        <v>2</v>
      </c>
      <c r="BO16" s="12">
        <v>2</v>
      </c>
      <c r="BP16" s="12">
        <v>2</v>
      </c>
      <c r="BQ16" s="12">
        <v>2</v>
      </c>
      <c r="BR16" s="12">
        <v>2</v>
      </c>
      <c r="BS16" s="12">
        <v>2</v>
      </c>
      <c r="BT16" s="12">
        <v>2</v>
      </c>
      <c r="BU16" s="12">
        <v>2</v>
      </c>
      <c r="BV16" s="12">
        <v>2</v>
      </c>
      <c r="BW16" s="67">
        <v>2</v>
      </c>
      <c r="BX16" s="67">
        <v>2</v>
      </c>
      <c r="BY16" s="67">
        <v>2</v>
      </c>
      <c r="BZ16" s="67">
        <v>2</v>
      </c>
      <c r="CA16" s="67">
        <v>2</v>
      </c>
      <c r="CB16" s="67">
        <v>2</v>
      </c>
      <c r="CC16" s="67">
        <v>2</v>
      </c>
      <c r="CD16" s="67">
        <v>2</v>
      </c>
      <c r="CE16" s="67">
        <v>2</v>
      </c>
      <c r="CF16" s="67">
        <v>2</v>
      </c>
      <c r="CG16" s="67">
        <v>2</v>
      </c>
      <c r="CH16" s="67">
        <v>2</v>
      </c>
      <c r="CI16" s="67">
        <v>2</v>
      </c>
      <c r="CJ16" s="67">
        <v>4</v>
      </c>
      <c r="CK16" s="67">
        <v>6</v>
      </c>
      <c r="CL16" s="67">
        <v>6</v>
      </c>
      <c r="CM16" s="67">
        <v>6</v>
      </c>
      <c r="CN16" s="67">
        <v>6</v>
      </c>
      <c r="CO16" s="67">
        <v>2</v>
      </c>
      <c r="CP16" s="67">
        <v>2</v>
      </c>
      <c r="CQ16" s="67">
        <v>2</v>
      </c>
      <c r="CR16" s="67">
        <v>2</v>
      </c>
      <c r="CS16" s="67">
        <v>2</v>
      </c>
      <c r="CT16" s="67">
        <v>2</v>
      </c>
      <c r="CU16" s="67">
        <v>2</v>
      </c>
      <c r="CV16" s="67">
        <v>2</v>
      </c>
      <c r="CW16" s="67">
        <v>2</v>
      </c>
      <c r="CX16" s="67">
        <v>2</v>
      </c>
      <c r="CY16" s="67">
        <v>2</v>
      </c>
      <c r="CZ16" s="67">
        <v>2</v>
      </c>
      <c r="DA16" s="67">
        <v>2</v>
      </c>
      <c r="DB16" s="67">
        <v>8</v>
      </c>
      <c r="DC16" s="67">
        <v>8</v>
      </c>
      <c r="DD16" s="67">
        <v>8</v>
      </c>
      <c r="DE16" s="67">
        <v>3</v>
      </c>
      <c r="DF16" s="67">
        <v>3</v>
      </c>
      <c r="DG16" s="67">
        <v>3</v>
      </c>
      <c r="DH16" s="67">
        <v>3</v>
      </c>
      <c r="DI16" s="67">
        <v>2</v>
      </c>
      <c r="DJ16" s="67">
        <v>2</v>
      </c>
      <c r="DK16" s="67">
        <v>2</v>
      </c>
      <c r="DL16" s="67">
        <v>2</v>
      </c>
      <c r="DM16" s="67">
        <v>2</v>
      </c>
      <c r="DN16" s="67">
        <v>2</v>
      </c>
      <c r="DO16" s="67">
        <v>2</v>
      </c>
      <c r="DP16" s="67">
        <v>2</v>
      </c>
      <c r="DQ16" s="67">
        <v>2</v>
      </c>
      <c r="DR16" s="67"/>
      <c r="DS16" s="67"/>
      <c r="DT16" s="67"/>
      <c r="DU16" s="67">
        <v>2</v>
      </c>
      <c r="DV16" s="67">
        <v>6</v>
      </c>
      <c r="DW16" s="67">
        <v>2</v>
      </c>
      <c r="DX16" s="67">
        <v>2</v>
      </c>
      <c r="DY16" s="67">
        <v>2</v>
      </c>
      <c r="DZ16" s="67">
        <v>1</v>
      </c>
      <c r="EA16" s="67">
        <v>1</v>
      </c>
      <c r="EB16" s="67">
        <v>1</v>
      </c>
      <c r="EC16" s="67">
        <v>2</v>
      </c>
      <c r="ED16" s="67">
        <v>1</v>
      </c>
      <c r="EE16" s="67">
        <v>1</v>
      </c>
      <c r="EF16" s="67"/>
      <c r="EG16" s="67"/>
      <c r="EH16" s="67">
        <v>13</v>
      </c>
    </row>
    <row r="17" spans="1:138" x14ac:dyDescent="0.2">
      <c r="A17" s="77" t="s">
        <v>994</v>
      </c>
      <c r="B17" s="77" t="s">
        <v>4746</v>
      </c>
      <c r="C17" s="77">
        <v>6</v>
      </c>
      <c r="D17" s="77">
        <v>-2</v>
      </c>
      <c r="E17" s="77">
        <v>-8</v>
      </c>
      <c r="F17" s="77">
        <v>-4</v>
      </c>
      <c r="G17" s="77">
        <v>-4</v>
      </c>
      <c r="H17" s="77">
        <v>2</v>
      </c>
      <c r="I17" s="77">
        <v>2</v>
      </c>
      <c r="J17" s="77">
        <v>-4</v>
      </c>
      <c r="K17" s="77">
        <v>-4</v>
      </c>
      <c r="L17" s="77">
        <v>-4</v>
      </c>
      <c r="M17" s="77"/>
      <c r="N17" s="77"/>
      <c r="O17" s="77"/>
      <c r="P17" s="77">
        <v>20</v>
      </c>
      <c r="Q17" s="77">
        <v>5</v>
      </c>
      <c r="R17" s="77">
        <v>1</v>
      </c>
      <c r="S17" s="77">
        <v>5</v>
      </c>
      <c r="T17" s="77">
        <v>0.5</v>
      </c>
      <c r="U17" s="77">
        <v>60</v>
      </c>
      <c r="V17" s="12">
        <f t="shared" si="0"/>
        <v>-20</v>
      </c>
      <c r="W17" s="12"/>
      <c r="X17" s="77" t="str">
        <f>Taulukko1[[#This Row],[Main Race]]</f>
        <v>Orc</v>
      </c>
      <c r="Z17" s="77" t="s">
        <v>4746</v>
      </c>
      <c r="AA17" s="12">
        <v>3211</v>
      </c>
      <c r="AB17" s="12">
        <v>6543</v>
      </c>
      <c r="AC17" s="12">
        <v>3211</v>
      </c>
      <c r="AD17" s="12">
        <v>5322</v>
      </c>
      <c r="AE17" s="12">
        <v>3211</v>
      </c>
      <c r="AF17" s="12">
        <v>5322</v>
      </c>
      <c r="AG17" s="12">
        <v>4321</v>
      </c>
      <c r="AH17" s="12">
        <v>6421</v>
      </c>
      <c r="AJ17" s="20" t="s">
        <v>1021</v>
      </c>
      <c r="AK17" s="12">
        <v>1</v>
      </c>
      <c r="AL17" s="12">
        <v>1</v>
      </c>
      <c r="AM17" s="12">
        <v>2</v>
      </c>
      <c r="AN17" s="12">
        <v>1</v>
      </c>
      <c r="AO17" s="12">
        <v>1</v>
      </c>
      <c r="AP17" s="12">
        <v>1</v>
      </c>
      <c r="AQ17" s="12">
        <v>2</v>
      </c>
      <c r="AR17" s="12">
        <v>2</v>
      </c>
      <c r="AS17" s="12">
        <v>2</v>
      </c>
      <c r="AT17" s="12">
        <v>2</v>
      </c>
      <c r="AU17" s="12">
        <v>2</v>
      </c>
      <c r="AV17" s="12">
        <v>2</v>
      </c>
      <c r="AW17" s="12">
        <v>2</v>
      </c>
      <c r="AX17" s="12">
        <v>2</v>
      </c>
      <c r="AY17" s="12">
        <v>2</v>
      </c>
      <c r="AZ17" s="12">
        <v>2</v>
      </c>
      <c r="BA17" s="12">
        <v>1</v>
      </c>
      <c r="BB17" s="12">
        <v>1</v>
      </c>
      <c r="BC17" s="12">
        <v>1</v>
      </c>
      <c r="BD17" s="12">
        <v>1</v>
      </c>
      <c r="BE17" s="12">
        <v>1</v>
      </c>
      <c r="BF17" s="12">
        <v>1</v>
      </c>
      <c r="BG17" s="12">
        <v>1</v>
      </c>
      <c r="BH17" s="12">
        <v>1</v>
      </c>
      <c r="BI17" s="12">
        <v>1</v>
      </c>
      <c r="BJ17" s="12">
        <v>1</v>
      </c>
      <c r="BK17" s="12">
        <v>1</v>
      </c>
      <c r="BL17" s="12">
        <v>1</v>
      </c>
      <c r="BM17" s="12">
        <v>1</v>
      </c>
      <c r="BN17" s="12">
        <v>1</v>
      </c>
      <c r="BO17" s="12">
        <v>1</v>
      </c>
      <c r="BP17" s="12">
        <v>1</v>
      </c>
      <c r="BQ17" s="12">
        <v>1</v>
      </c>
      <c r="BR17" s="12">
        <v>2</v>
      </c>
      <c r="BS17" s="12">
        <v>1</v>
      </c>
      <c r="BT17" s="12">
        <v>1</v>
      </c>
      <c r="BU17" s="12">
        <v>1</v>
      </c>
      <c r="BV17" s="12">
        <v>1</v>
      </c>
      <c r="BW17" s="67">
        <v>1</v>
      </c>
      <c r="BX17" s="67">
        <v>1</v>
      </c>
      <c r="BY17" s="67">
        <v>1</v>
      </c>
      <c r="BZ17" s="67">
        <v>1</v>
      </c>
      <c r="CA17" s="67">
        <v>1</v>
      </c>
      <c r="CB17" s="67">
        <v>1</v>
      </c>
      <c r="CC17" s="67">
        <v>1</v>
      </c>
      <c r="CD17" s="67">
        <v>1</v>
      </c>
      <c r="CE17" s="67">
        <v>1</v>
      </c>
      <c r="CF17" s="67">
        <v>1</v>
      </c>
      <c r="CG17" s="67">
        <v>1</v>
      </c>
      <c r="CH17" s="67">
        <v>1</v>
      </c>
      <c r="CI17" s="67">
        <v>1</v>
      </c>
      <c r="CJ17" s="67">
        <v>1</v>
      </c>
      <c r="CK17" s="67">
        <v>1</v>
      </c>
      <c r="CL17" s="67">
        <v>1</v>
      </c>
      <c r="CM17" s="67">
        <v>1</v>
      </c>
      <c r="CN17" s="67">
        <v>1</v>
      </c>
      <c r="CO17" s="67">
        <v>1</v>
      </c>
      <c r="CP17" s="67">
        <v>1</v>
      </c>
      <c r="CQ17" s="67">
        <v>1</v>
      </c>
      <c r="CR17" s="67">
        <v>1</v>
      </c>
      <c r="CS17" s="67">
        <v>1</v>
      </c>
      <c r="CT17" s="67">
        <v>1</v>
      </c>
      <c r="CU17" s="67">
        <v>1</v>
      </c>
      <c r="CV17" s="67">
        <v>1</v>
      </c>
      <c r="CW17" s="67">
        <v>1</v>
      </c>
      <c r="CX17" s="67">
        <v>1</v>
      </c>
      <c r="CY17" s="67">
        <v>1</v>
      </c>
      <c r="CZ17" s="67">
        <v>1</v>
      </c>
      <c r="DA17" s="67">
        <v>1</v>
      </c>
      <c r="DB17" s="67">
        <v>1</v>
      </c>
      <c r="DC17" s="67">
        <v>1</v>
      </c>
      <c r="DD17" s="67">
        <v>1</v>
      </c>
      <c r="DE17" s="67">
        <v>1</v>
      </c>
      <c r="DF17" s="67">
        <v>1</v>
      </c>
      <c r="DG17" s="67">
        <v>1</v>
      </c>
      <c r="DH17" s="67">
        <v>1</v>
      </c>
      <c r="DI17" s="67">
        <v>1</v>
      </c>
      <c r="DJ17" s="67">
        <v>1</v>
      </c>
      <c r="DK17" s="67">
        <v>1</v>
      </c>
      <c r="DL17" s="67">
        <v>1</v>
      </c>
      <c r="DM17" s="67">
        <v>1</v>
      </c>
      <c r="DN17" s="67">
        <v>1</v>
      </c>
      <c r="DO17" s="67">
        <v>1</v>
      </c>
      <c r="DP17" s="67">
        <v>1</v>
      </c>
      <c r="DQ17" s="67">
        <v>1</v>
      </c>
      <c r="DR17" s="67"/>
      <c r="DS17" s="67"/>
      <c r="DT17" s="67"/>
      <c r="DU17" s="67">
        <v>1</v>
      </c>
      <c r="DV17" s="67">
        <v>1</v>
      </c>
      <c r="DW17" s="67">
        <v>1</v>
      </c>
      <c r="DX17" s="67">
        <v>1</v>
      </c>
      <c r="DY17" s="67">
        <v>1</v>
      </c>
      <c r="DZ17" s="67">
        <v>1</v>
      </c>
      <c r="EA17" s="67">
        <v>1</v>
      </c>
      <c r="EB17" s="67">
        <v>1</v>
      </c>
      <c r="EC17" s="67">
        <v>1</v>
      </c>
      <c r="ED17" s="67">
        <v>1</v>
      </c>
      <c r="EE17" s="67">
        <v>1</v>
      </c>
      <c r="EF17" s="67"/>
      <c r="EG17" s="67"/>
      <c r="EH17" s="67">
        <v>14</v>
      </c>
    </row>
    <row r="18" spans="1:138" x14ac:dyDescent="0.2">
      <c r="A18" s="77" t="s">
        <v>917</v>
      </c>
      <c r="B18" s="77" t="s">
        <v>875</v>
      </c>
      <c r="C18" s="77">
        <v>4</v>
      </c>
      <c r="D18" s="77"/>
      <c r="E18" s="77"/>
      <c r="F18" s="77"/>
      <c r="G18" s="77"/>
      <c r="H18" s="77">
        <v>4</v>
      </c>
      <c r="I18" s="77"/>
      <c r="J18" s="77">
        <v>2</v>
      </c>
      <c r="K18" s="77"/>
      <c r="L18" s="77"/>
      <c r="M18" s="77"/>
      <c r="N18" s="77"/>
      <c r="O18" s="77"/>
      <c r="P18" s="77">
        <v>5</v>
      </c>
      <c r="Q18" s="77">
        <v>15</v>
      </c>
      <c r="R18" s="77">
        <v>10</v>
      </c>
      <c r="S18" s="77">
        <v>4</v>
      </c>
      <c r="T18" s="77">
        <v>0.75</v>
      </c>
      <c r="U18" s="77">
        <f>S18*10</f>
        <v>40</v>
      </c>
      <c r="V18" s="12">
        <f t="shared" si="0"/>
        <v>10</v>
      </c>
      <c r="W18" s="12"/>
      <c r="X18" s="77" t="str">
        <f>Taulukko1[[#This Row],[Main Race]]</f>
        <v>High Man</v>
      </c>
      <c r="Z18" s="12" t="s">
        <v>875</v>
      </c>
      <c r="AA18" s="12">
        <v>6543</v>
      </c>
      <c r="AB18" s="12">
        <v>6543</v>
      </c>
      <c r="AC18" s="12">
        <v>7654</v>
      </c>
      <c r="AD18" s="12">
        <v>6453</v>
      </c>
      <c r="AE18" s="12">
        <v>6543</v>
      </c>
      <c r="AF18" s="12">
        <v>6543</v>
      </c>
      <c r="AG18" s="12">
        <v>6543</v>
      </c>
      <c r="AH18" s="12">
        <v>7531</v>
      </c>
      <c r="AJ18" s="20" t="s">
        <v>487</v>
      </c>
      <c r="AK18" s="12">
        <v>3</v>
      </c>
      <c r="AL18" s="12">
        <v>2</v>
      </c>
      <c r="AM18" s="12">
        <v>1</v>
      </c>
      <c r="AN18" s="12">
        <v>3</v>
      </c>
      <c r="AO18" s="12">
        <v>3</v>
      </c>
      <c r="AP18" s="12">
        <v>3</v>
      </c>
      <c r="AQ18" s="12">
        <v>1</v>
      </c>
      <c r="AR18" s="12">
        <v>1</v>
      </c>
      <c r="AS18" s="12">
        <v>1</v>
      </c>
      <c r="AT18" s="12">
        <v>1</v>
      </c>
      <c r="AU18" s="12">
        <v>1</v>
      </c>
      <c r="AV18" s="12">
        <v>1</v>
      </c>
      <c r="AW18" s="12">
        <v>1</v>
      </c>
      <c r="AX18" s="12">
        <v>1</v>
      </c>
      <c r="AY18" s="12">
        <v>1</v>
      </c>
      <c r="AZ18" s="12">
        <v>2</v>
      </c>
      <c r="BA18" s="12">
        <v>2</v>
      </c>
      <c r="BB18" s="12">
        <v>2</v>
      </c>
      <c r="BC18" s="12">
        <v>2</v>
      </c>
      <c r="BD18" s="12">
        <v>1</v>
      </c>
      <c r="BE18" s="12">
        <v>1</v>
      </c>
      <c r="BF18" s="12">
        <v>2</v>
      </c>
      <c r="BG18" s="12">
        <v>2</v>
      </c>
      <c r="BH18" s="12">
        <v>1</v>
      </c>
      <c r="BI18" s="12">
        <v>1</v>
      </c>
      <c r="BJ18" s="12">
        <v>1</v>
      </c>
      <c r="BK18" s="12">
        <v>3</v>
      </c>
      <c r="BL18" s="12">
        <v>2</v>
      </c>
      <c r="BM18" s="12">
        <v>1</v>
      </c>
      <c r="BN18" s="12">
        <v>1</v>
      </c>
      <c r="BO18" s="12">
        <v>1</v>
      </c>
      <c r="BP18" s="12">
        <v>1</v>
      </c>
      <c r="BQ18" s="12">
        <v>1</v>
      </c>
      <c r="BR18" s="12">
        <v>1</v>
      </c>
      <c r="BS18" s="12">
        <v>1</v>
      </c>
      <c r="BT18" s="12">
        <v>1</v>
      </c>
      <c r="BU18" s="12">
        <v>2</v>
      </c>
      <c r="BV18" s="12">
        <v>2</v>
      </c>
      <c r="BW18" s="67">
        <v>3</v>
      </c>
      <c r="BX18" s="67">
        <v>3</v>
      </c>
      <c r="BY18" s="67">
        <v>2</v>
      </c>
      <c r="BZ18" s="67">
        <v>1</v>
      </c>
      <c r="CA18" s="67">
        <v>2</v>
      </c>
      <c r="CB18" s="67">
        <v>4</v>
      </c>
      <c r="CC18" s="67">
        <v>4</v>
      </c>
      <c r="CD18" s="67">
        <v>4</v>
      </c>
      <c r="CE18" s="67">
        <v>3</v>
      </c>
      <c r="CF18" s="67">
        <v>3</v>
      </c>
      <c r="CG18" s="67">
        <v>2</v>
      </c>
      <c r="CH18" s="67">
        <v>2</v>
      </c>
      <c r="CI18" s="67">
        <v>3</v>
      </c>
      <c r="CJ18" s="67">
        <v>3</v>
      </c>
      <c r="CK18" s="67"/>
      <c r="CL18" s="67">
        <v>1</v>
      </c>
      <c r="CM18" s="67">
        <v>1</v>
      </c>
      <c r="CN18" s="67">
        <v>1</v>
      </c>
      <c r="CO18" s="67">
        <v>1</v>
      </c>
      <c r="CP18" s="67">
        <v>2</v>
      </c>
      <c r="CQ18" s="67">
        <v>3</v>
      </c>
      <c r="CR18" s="67">
        <v>1</v>
      </c>
      <c r="CS18" s="67">
        <v>2</v>
      </c>
      <c r="CT18" s="67">
        <v>2</v>
      </c>
      <c r="CU18" s="67">
        <v>2</v>
      </c>
      <c r="CV18" s="67">
        <v>2</v>
      </c>
      <c r="CW18" s="67">
        <v>2</v>
      </c>
      <c r="CX18" s="67">
        <v>2</v>
      </c>
      <c r="CY18" s="67">
        <v>2</v>
      </c>
      <c r="CZ18" s="67">
        <v>1</v>
      </c>
      <c r="DA18" s="67">
        <v>1</v>
      </c>
      <c r="DB18" s="67">
        <v>3</v>
      </c>
      <c r="DC18" s="67">
        <v>2</v>
      </c>
      <c r="DD18" s="67">
        <v>2</v>
      </c>
      <c r="DE18" s="67">
        <v>3</v>
      </c>
      <c r="DF18" s="67">
        <v>3</v>
      </c>
      <c r="DG18" s="67">
        <v>3</v>
      </c>
      <c r="DH18" s="67">
        <v>3</v>
      </c>
      <c r="DI18" s="67">
        <v>2</v>
      </c>
      <c r="DJ18" s="67">
        <v>2</v>
      </c>
      <c r="DK18" s="67">
        <v>1</v>
      </c>
      <c r="DL18" s="67">
        <v>2</v>
      </c>
      <c r="DM18" s="67">
        <v>1</v>
      </c>
      <c r="DN18" s="67">
        <v>1</v>
      </c>
      <c r="DO18" s="67">
        <v>1</v>
      </c>
      <c r="DP18" s="67">
        <v>2</v>
      </c>
      <c r="DQ18" s="67">
        <v>2</v>
      </c>
      <c r="DR18" s="67"/>
      <c r="DS18" s="67"/>
      <c r="DT18" s="67"/>
      <c r="DU18" s="67">
        <v>2</v>
      </c>
      <c r="DV18" s="67">
        <v>2</v>
      </c>
      <c r="DW18" s="67">
        <v>2</v>
      </c>
      <c r="DX18" s="67">
        <v>3</v>
      </c>
      <c r="DY18" s="67">
        <v>2</v>
      </c>
      <c r="DZ18" s="67">
        <v>5</v>
      </c>
      <c r="EA18" s="67">
        <v>5</v>
      </c>
      <c r="EB18" s="67">
        <v>4</v>
      </c>
      <c r="EC18" s="67">
        <v>5</v>
      </c>
      <c r="ED18" s="67">
        <v>5</v>
      </c>
      <c r="EE18" s="67"/>
      <c r="EF18" s="67"/>
      <c r="EG18" s="67"/>
      <c r="EH18" s="67">
        <v>15</v>
      </c>
    </row>
    <row r="19" spans="1:138" x14ac:dyDescent="0.2">
      <c r="A19" s="77" t="s">
        <v>1005</v>
      </c>
      <c r="B19" s="77" t="s">
        <v>1006</v>
      </c>
      <c r="C19" s="77"/>
      <c r="D19" s="77"/>
      <c r="E19" s="77">
        <v>2</v>
      </c>
      <c r="F19" s="77"/>
      <c r="G19" s="77"/>
      <c r="H19" s="77">
        <v>2</v>
      </c>
      <c r="I19" s="77"/>
      <c r="J19" s="77"/>
      <c r="K19" s="77"/>
      <c r="L19" s="77"/>
      <c r="M19" s="77"/>
      <c r="N19" s="77"/>
      <c r="O19" s="77"/>
      <c r="P19" s="77"/>
      <c r="Q19" s="77"/>
      <c r="R19" s="77">
        <v>12</v>
      </c>
      <c r="S19" s="77">
        <v>6</v>
      </c>
      <c r="T19" s="77">
        <v>1</v>
      </c>
      <c r="U19" s="77">
        <f>S19*10</f>
        <v>60</v>
      </c>
      <c r="V19" s="12">
        <f t="shared" si="0"/>
        <v>4</v>
      </c>
      <c r="W19" s="12"/>
      <c r="X19" s="77" t="str">
        <f>Taulukko1[[#This Row],[Main Race]]</f>
        <v>Common Men</v>
      </c>
      <c r="Z19" s="12" t="s">
        <v>1006</v>
      </c>
      <c r="AA19" s="12">
        <v>6543</v>
      </c>
      <c r="AB19" s="12">
        <v>6543</v>
      </c>
      <c r="AC19" s="12">
        <v>7654</v>
      </c>
      <c r="AD19" s="12">
        <v>6543</v>
      </c>
      <c r="AE19" s="12">
        <v>6543</v>
      </c>
      <c r="AF19" s="12">
        <v>6543</v>
      </c>
      <c r="AG19" s="12">
        <v>6543</v>
      </c>
      <c r="AH19" s="12">
        <v>6521</v>
      </c>
      <c r="AJ19" s="20" t="s">
        <v>5471</v>
      </c>
      <c r="AK19" s="12"/>
      <c r="AL19" s="12"/>
      <c r="AM19" s="12"/>
      <c r="AN19" s="12"/>
      <c r="AO19" s="12"/>
      <c r="AP19" s="12"/>
      <c r="AQ19" s="12"/>
      <c r="AR19" s="12"/>
      <c r="AS19" s="12"/>
      <c r="AT19" s="12"/>
      <c r="AU19" s="12"/>
      <c r="AV19" s="12"/>
      <c r="AW19" s="12"/>
      <c r="AX19" s="12"/>
      <c r="AY19" s="12"/>
      <c r="AZ19" s="12"/>
      <c r="BA19" s="12"/>
      <c r="BB19" s="12"/>
      <c r="BC19" s="12"/>
      <c r="BD19" s="12"/>
      <c r="BE19" s="12"/>
      <c r="BF19" s="12"/>
      <c r="BG19" s="12"/>
      <c r="BH19" s="12"/>
      <c r="BI19" s="12"/>
      <c r="BJ19" s="12"/>
      <c r="BK19" s="12"/>
      <c r="BL19" s="12"/>
      <c r="BM19" s="12"/>
      <c r="BN19" s="12"/>
      <c r="BO19" s="12"/>
      <c r="BP19" s="12"/>
      <c r="BQ19" s="12"/>
      <c r="BR19" s="12"/>
      <c r="BS19" s="12"/>
      <c r="BT19" s="12"/>
      <c r="BU19" s="12"/>
      <c r="BV19" s="12"/>
      <c r="BW19" s="67"/>
      <c r="BX19" s="67"/>
      <c r="BY19" s="67"/>
      <c r="BZ19" s="67"/>
      <c r="CA19" s="67"/>
      <c r="CB19" s="67"/>
      <c r="CC19" s="67"/>
      <c r="CD19" s="67"/>
      <c r="CE19" s="67"/>
      <c r="CF19" s="67"/>
      <c r="CG19" s="67"/>
      <c r="CH19" s="67"/>
      <c r="CI19" s="67"/>
      <c r="CJ19" s="67"/>
      <c r="CK19" s="67"/>
      <c r="CL19" s="67"/>
      <c r="CM19" s="67"/>
      <c r="CN19" s="67"/>
      <c r="CO19" s="67"/>
      <c r="CP19" s="67"/>
      <c r="CQ19" s="67"/>
      <c r="CR19" s="67"/>
      <c r="CS19" s="67"/>
      <c r="CT19" s="67"/>
      <c r="CU19" s="67"/>
      <c r="CV19" s="67"/>
      <c r="CW19" s="67"/>
      <c r="CX19" s="67"/>
      <c r="CY19" s="67"/>
      <c r="CZ19" s="67"/>
      <c r="DA19" s="67"/>
      <c r="DB19" s="67"/>
      <c r="DC19" s="67"/>
      <c r="DD19" s="67"/>
      <c r="DE19" s="67"/>
      <c r="DF19" s="67"/>
      <c r="DG19" s="67"/>
      <c r="DH19" s="67"/>
      <c r="DI19" s="67"/>
      <c r="DJ19" s="67"/>
      <c r="DK19" s="67"/>
      <c r="DL19" s="67"/>
      <c r="DM19" s="67"/>
      <c r="DN19" s="67"/>
      <c r="DO19" s="67"/>
      <c r="DP19" s="67"/>
      <c r="DQ19" s="67"/>
      <c r="DR19" s="67"/>
      <c r="DS19" s="67"/>
      <c r="DT19" s="67"/>
      <c r="DU19" s="67"/>
      <c r="DV19" s="67"/>
      <c r="DW19" s="67"/>
      <c r="DX19" s="67"/>
      <c r="DY19" s="67"/>
      <c r="DZ19" s="67"/>
      <c r="EA19" s="67"/>
      <c r="EB19" s="67"/>
      <c r="EC19" s="67"/>
      <c r="ED19" s="67"/>
      <c r="EE19" s="67"/>
      <c r="EF19" s="67"/>
      <c r="EG19" s="67"/>
      <c r="EH19" s="67">
        <v>16</v>
      </c>
    </row>
    <row r="20" spans="1:138" x14ac:dyDescent="0.2">
      <c r="A20" s="77" t="s">
        <v>4055</v>
      </c>
      <c r="B20" s="77" t="s">
        <v>4063</v>
      </c>
      <c r="C20" s="77">
        <v>3</v>
      </c>
      <c r="D20" s="77"/>
      <c r="E20" s="77">
        <v>2</v>
      </c>
      <c r="F20" s="77"/>
      <c r="G20" s="77"/>
      <c r="H20" s="77">
        <v>3</v>
      </c>
      <c r="I20" s="77"/>
      <c r="J20" s="77">
        <v>2</v>
      </c>
      <c r="K20" s="77">
        <v>-2</v>
      </c>
      <c r="L20" s="77"/>
      <c r="M20" s="77"/>
      <c r="N20" s="77"/>
      <c r="O20" s="77"/>
      <c r="P20" s="77"/>
      <c r="Q20" s="77"/>
      <c r="R20" s="77">
        <v>1</v>
      </c>
      <c r="S20" s="77">
        <v>5</v>
      </c>
      <c r="T20" s="77">
        <v>0.9</v>
      </c>
      <c r="U20" s="77">
        <v>50</v>
      </c>
      <c r="V20" s="12">
        <f t="shared" si="0"/>
        <v>8</v>
      </c>
      <c r="W20" s="12"/>
      <c r="X20" s="77" t="str">
        <f>Taulukko1[[#This Row],[Main Race]]</f>
        <v>Human</v>
      </c>
      <c r="Z20" s="12" t="s">
        <v>4063</v>
      </c>
      <c r="AA20" s="12">
        <v>6543</v>
      </c>
      <c r="AB20" s="12">
        <v>6543</v>
      </c>
      <c r="AC20" s="12">
        <v>7654</v>
      </c>
      <c r="AD20" s="12">
        <v>6543</v>
      </c>
      <c r="AE20" s="12">
        <v>6543</v>
      </c>
      <c r="AF20" s="12">
        <v>6543</v>
      </c>
      <c r="AG20" s="12">
        <v>6543</v>
      </c>
      <c r="AH20" s="12">
        <v>7521</v>
      </c>
      <c r="AJ20" s="12" t="s">
        <v>491</v>
      </c>
      <c r="AK20" s="12">
        <v>0</v>
      </c>
      <c r="AL20" s="12"/>
      <c r="AM20" s="12"/>
      <c r="AN20" s="12"/>
      <c r="AO20" s="12"/>
      <c r="AP20" s="12"/>
      <c r="AQ20" s="12"/>
      <c r="AR20" s="12"/>
      <c r="AS20" s="12"/>
      <c r="AT20" s="12"/>
      <c r="AU20" s="12"/>
      <c r="AV20" s="12"/>
      <c r="AW20" s="12"/>
      <c r="AX20" s="12"/>
      <c r="AY20" s="12"/>
      <c r="AZ20" s="12"/>
      <c r="BA20" s="12"/>
      <c r="BB20" s="12"/>
      <c r="BC20" s="12">
        <v>2</v>
      </c>
      <c r="BD20" s="12"/>
      <c r="BE20" s="12"/>
      <c r="BF20" s="12"/>
      <c r="BG20" s="12"/>
      <c r="BH20" s="12"/>
      <c r="BI20" s="12"/>
      <c r="BJ20" s="12"/>
      <c r="BK20" s="12"/>
      <c r="BL20" s="12"/>
      <c r="BM20" s="12"/>
      <c r="BN20" s="12"/>
      <c r="BO20" s="12"/>
      <c r="BP20" s="12"/>
      <c r="BQ20" s="12"/>
      <c r="BR20" s="12"/>
      <c r="BS20" s="12"/>
      <c r="BT20" s="12"/>
      <c r="BU20" s="12"/>
      <c r="BV20" s="12"/>
      <c r="BW20" s="67"/>
      <c r="BX20" s="67"/>
      <c r="BY20" s="67"/>
      <c r="BZ20" s="67"/>
      <c r="CA20" s="67"/>
      <c r="CB20" s="67"/>
      <c r="CC20" s="67"/>
      <c r="CD20" s="67"/>
      <c r="CE20" s="67"/>
      <c r="CF20" s="67"/>
      <c r="CG20" s="67"/>
      <c r="CH20" s="67"/>
      <c r="CI20" s="67"/>
      <c r="CJ20" s="67"/>
      <c r="CK20" s="67"/>
      <c r="CL20" s="67"/>
      <c r="CM20" s="67"/>
      <c r="CN20" s="67"/>
      <c r="CO20" s="67"/>
      <c r="CP20" s="67">
        <v>2</v>
      </c>
      <c r="CQ20" s="67"/>
      <c r="CR20" s="67"/>
      <c r="CS20" s="67"/>
      <c r="CT20" s="67"/>
      <c r="CU20" s="67"/>
      <c r="CV20" s="67"/>
      <c r="CW20" s="67"/>
      <c r="CX20" s="67"/>
      <c r="CY20" s="67"/>
      <c r="CZ20" s="67"/>
      <c r="DA20" s="67"/>
      <c r="DB20" s="67"/>
      <c r="DC20" s="67"/>
      <c r="DD20" s="67"/>
      <c r="DE20" s="67"/>
      <c r="DF20" s="67"/>
      <c r="DG20" s="67"/>
      <c r="DH20" s="67"/>
      <c r="DI20" s="67">
        <v>1</v>
      </c>
      <c r="DJ20" s="67">
        <v>2</v>
      </c>
      <c r="DK20" s="67">
        <v>1</v>
      </c>
      <c r="DL20" s="67">
        <v>2</v>
      </c>
      <c r="DM20" s="67">
        <v>1</v>
      </c>
      <c r="DN20" s="67">
        <v>1</v>
      </c>
      <c r="DO20" s="67">
        <v>1</v>
      </c>
      <c r="DP20" s="67">
        <v>2</v>
      </c>
      <c r="DQ20" s="67">
        <v>2</v>
      </c>
      <c r="DR20" s="67"/>
      <c r="DS20" s="67"/>
      <c r="DT20" s="67"/>
      <c r="DU20" s="67"/>
      <c r="DV20" s="67"/>
      <c r="DW20" s="67"/>
      <c r="DX20" s="67"/>
      <c r="DY20" s="67"/>
      <c r="DZ20" s="67"/>
      <c r="EA20" s="67"/>
      <c r="EB20" s="67"/>
      <c r="EC20" s="67"/>
      <c r="ED20" s="67"/>
      <c r="EE20" s="67"/>
      <c r="EF20" s="67"/>
      <c r="EG20" s="67"/>
      <c r="EH20" s="67">
        <v>17</v>
      </c>
    </row>
    <row r="21" spans="1:138" x14ac:dyDescent="0.2">
      <c r="A21" s="77" t="s">
        <v>4053</v>
      </c>
      <c r="B21" s="77" t="s">
        <v>4052</v>
      </c>
      <c r="C21" s="77">
        <v>-2</v>
      </c>
      <c r="D21" s="77">
        <v>2</v>
      </c>
      <c r="E21" s="77">
        <v>-4</v>
      </c>
      <c r="F21" s="77">
        <v>4</v>
      </c>
      <c r="G21" s="77">
        <v>4</v>
      </c>
      <c r="H21" s="77">
        <v>-4</v>
      </c>
      <c r="I21" s="77">
        <v>2</v>
      </c>
      <c r="J21" s="77">
        <v>-2</v>
      </c>
      <c r="K21" s="77">
        <v>4</v>
      </c>
      <c r="L21" s="77">
        <v>2</v>
      </c>
      <c r="M21" s="77">
        <v>10</v>
      </c>
      <c r="N21" s="77">
        <v>10</v>
      </c>
      <c r="O21" s="77">
        <v>10</v>
      </c>
      <c r="P21" s="77">
        <v>20</v>
      </c>
      <c r="Q21" s="77">
        <v>10</v>
      </c>
      <c r="R21" s="77">
        <v>1</v>
      </c>
      <c r="S21" s="77">
        <v>2</v>
      </c>
      <c r="T21" s="77">
        <v>0.75</v>
      </c>
      <c r="U21" s="77">
        <v>40</v>
      </c>
      <c r="V21" s="12">
        <f t="shared" si="0"/>
        <v>6</v>
      </c>
      <c r="W21" s="12">
        <f>Stats!$B$4</f>
        <v>95.697167755991316</v>
      </c>
      <c r="X21" s="77" t="str">
        <f>Taulukko1[[#This Row],[Main Race]]</f>
        <v>Gnome</v>
      </c>
      <c r="Z21" s="12" t="s">
        <v>4052</v>
      </c>
      <c r="AA21" s="12">
        <v>7654</v>
      </c>
      <c r="AB21" s="12">
        <v>7654</v>
      </c>
      <c r="AC21" s="12">
        <v>6543</v>
      </c>
      <c r="AD21" s="12">
        <v>6543</v>
      </c>
      <c r="AE21" s="12">
        <v>6543</v>
      </c>
      <c r="AF21" s="12">
        <v>6543</v>
      </c>
      <c r="AG21" s="12">
        <v>6543</v>
      </c>
      <c r="AH21" s="12">
        <v>6311</v>
      </c>
      <c r="AJ21" s="20" t="s">
        <v>498</v>
      </c>
      <c r="AK21" s="12">
        <v>2</v>
      </c>
      <c r="AL21" s="12">
        <v>2</v>
      </c>
      <c r="AM21" s="12">
        <v>2</v>
      </c>
      <c r="AN21" s="12">
        <v>1</v>
      </c>
      <c r="AO21" s="12">
        <v>1</v>
      </c>
      <c r="AP21" s="12">
        <v>1</v>
      </c>
      <c r="AQ21" s="12">
        <v>2</v>
      </c>
      <c r="AR21" s="12">
        <v>3</v>
      </c>
      <c r="AS21" s="12">
        <v>3</v>
      </c>
      <c r="AT21" s="12">
        <v>4</v>
      </c>
      <c r="AU21" s="12">
        <v>1</v>
      </c>
      <c r="AV21" s="12">
        <v>2</v>
      </c>
      <c r="AW21" s="12">
        <v>2</v>
      </c>
      <c r="AX21" s="12">
        <v>1</v>
      </c>
      <c r="AY21" s="12">
        <v>1</v>
      </c>
      <c r="AZ21" s="12">
        <v>1</v>
      </c>
      <c r="BA21" s="12">
        <v>1</v>
      </c>
      <c r="BB21" s="12">
        <v>1</v>
      </c>
      <c r="BC21" s="12">
        <v>1</v>
      </c>
      <c r="BD21" s="12">
        <v>1</v>
      </c>
      <c r="BE21" s="12">
        <v>2</v>
      </c>
      <c r="BF21" s="12">
        <v>2</v>
      </c>
      <c r="BG21" s="12">
        <v>1</v>
      </c>
      <c r="BH21" s="12">
        <v>1</v>
      </c>
      <c r="BI21" s="12">
        <v>1</v>
      </c>
      <c r="BJ21" s="12">
        <v>3</v>
      </c>
      <c r="BK21" s="12">
        <v>1</v>
      </c>
      <c r="BL21" s="12">
        <v>3</v>
      </c>
      <c r="BM21" s="12">
        <v>1</v>
      </c>
      <c r="BN21" s="12">
        <v>1</v>
      </c>
      <c r="BO21" s="12">
        <v>1</v>
      </c>
      <c r="BP21" s="12">
        <v>1</v>
      </c>
      <c r="BQ21" s="12">
        <v>1</v>
      </c>
      <c r="BR21" s="12">
        <v>1</v>
      </c>
      <c r="BS21" s="12">
        <v>1</v>
      </c>
      <c r="BT21" s="12">
        <v>3</v>
      </c>
      <c r="BU21" s="12">
        <v>1</v>
      </c>
      <c r="BV21" s="12">
        <v>1</v>
      </c>
      <c r="BW21" s="67">
        <v>1</v>
      </c>
      <c r="BX21" s="67">
        <v>1</v>
      </c>
      <c r="BY21" s="67">
        <v>1</v>
      </c>
      <c r="BZ21" s="67">
        <v>3</v>
      </c>
      <c r="CA21" s="67">
        <v>3</v>
      </c>
      <c r="CB21" s="67">
        <v>2</v>
      </c>
      <c r="CC21" s="67">
        <v>2</v>
      </c>
      <c r="CD21" s="67">
        <v>2</v>
      </c>
      <c r="CE21" s="67">
        <v>1</v>
      </c>
      <c r="CF21" s="67">
        <v>1</v>
      </c>
      <c r="CG21" s="67">
        <v>3</v>
      </c>
      <c r="CH21" s="67">
        <v>2</v>
      </c>
      <c r="CI21" s="67">
        <v>2</v>
      </c>
      <c r="CJ21" s="67">
        <v>1</v>
      </c>
      <c r="CK21" s="67">
        <v>1</v>
      </c>
      <c r="CL21" s="67">
        <v>4</v>
      </c>
      <c r="CM21" s="67">
        <v>2</v>
      </c>
      <c r="CN21" s="67">
        <v>3</v>
      </c>
      <c r="CO21" s="67">
        <v>3</v>
      </c>
      <c r="CP21" s="67">
        <v>1</v>
      </c>
      <c r="CQ21" s="67">
        <v>1</v>
      </c>
      <c r="CR21" s="67">
        <v>3</v>
      </c>
      <c r="CS21" s="67">
        <v>1</v>
      </c>
      <c r="CT21" s="67">
        <v>2</v>
      </c>
      <c r="CU21" s="67">
        <v>3</v>
      </c>
      <c r="CV21" s="67">
        <v>3</v>
      </c>
      <c r="CW21" s="67">
        <v>1</v>
      </c>
      <c r="CX21" s="67">
        <v>1</v>
      </c>
      <c r="CY21" s="67">
        <v>1</v>
      </c>
      <c r="CZ21" s="67">
        <v>2</v>
      </c>
      <c r="DA21" s="67">
        <v>2</v>
      </c>
      <c r="DB21" s="67">
        <v>1</v>
      </c>
      <c r="DC21" s="67">
        <v>1</v>
      </c>
      <c r="DD21" s="67">
        <v>1</v>
      </c>
      <c r="DE21" s="67">
        <v>1</v>
      </c>
      <c r="DF21" s="67">
        <v>1</v>
      </c>
      <c r="DG21" s="67">
        <v>1</v>
      </c>
      <c r="DH21" s="67">
        <v>1</v>
      </c>
      <c r="DI21" s="67">
        <v>1</v>
      </c>
      <c r="DJ21" s="67">
        <v>1</v>
      </c>
      <c r="DK21" s="67">
        <v>2</v>
      </c>
      <c r="DL21" s="67">
        <v>1</v>
      </c>
      <c r="DM21" s="67">
        <v>2</v>
      </c>
      <c r="DN21" s="67">
        <v>2</v>
      </c>
      <c r="DO21" s="67">
        <v>2</v>
      </c>
      <c r="DP21" s="67">
        <v>1</v>
      </c>
      <c r="DQ21" s="67">
        <v>1</v>
      </c>
      <c r="DR21" s="67"/>
      <c r="DS21" s="67"/>
      <c r="DT21" s="67"/>
      <c r="DU21" s="67">
        <v>1</v>
      </c>
      <c r="DV21" s="67">
        <v>1</v>
      </c>
      <c r="DW21" s="67"/>
      <c r="DX21" s="67"/>
      <c r="DY21" s="67"/>
      <c r="DZ21" s="67"/>
      <c r="EA21" s="67"/>
      <c r="EB21" s="67"/>
      <c r="EC21" s="67"/>
      <c r="ED21" s="67"/>
      <c r="EE21" s="67">
        <v>5</v>
      </c>
      <c r="EF21" s="67"/>
      <c r="EG21" s="67"/>
      <c r="EH21" s="67">
        <v>18</v>
      </c>
    </row>
    <row r="22" spans="1:138" x14ac:dyDescent="0.2">
      <c r="A22" s="77" t="s">
        <v>4055</v>
      </c>
      <c r="B22" s="77" t="s">
        <v>4254</v>
      </c>
      <c r="C22" s="77">
        <v>2</v>
      </c>
      <c r="D22" s="77"/>
      <c r="E22" s="77">
        <v>4</v>
      </c>
      <c r="F22" s="77"/>
      <c r="G22" s="77"/>
      <c r="H22" s="77">
        <v>2</v>
      </c>
      <c r="I22" s="77"/>
      <c r="J22" s="77"/>
      <c r="K22" s="77"/>
      <c r="L22" s="77"/>
      <c r="M22" s="77"/>
      <c r="N22" s="77"/>
      <c r="O22" s="77"/>
      <c r="P22" s="77"/>
      <c r="Q22" s="77"/>
      <c r="R22" s="77">
        <v>1</v>
      </c>
      <c r="S22" s="77">
        <v>6</v>
      </c>
      <c r="T22" s="77">
        <v>1</v>
      </c>
      <c r="U22" s="77">
        <v>40</v>
      </c>
      <c r="V22" s="12">
        <f t="shared" si="0"/>
        <v>8</v>
      </c>
      <c r="W22" s="12"/>
      <c r="X22" s="77" t="str">
        <f>Taulukko1[[#This Row],[Main Race]]</f>
        <v>Human</v>
      </c>
      <c r="Z22" s="12" t="s">
        <v>4254</v>
      </c>
      <c r="AA22" s="12">
        <v>7543</v>
      </c>
      <c r="AB22" s="12">
        <v>7543</v>
      </c>
      <c r="AC22" s="12">
        <v>8654</v>
      </c>
      <c r="AD22" s="12">
        <v>7543</v>
      </c>
      <c r="AE22" s="12">
        <v>7543</v>
      </c>
      <c r="AF22" s="12">
        <v>7543</v>
      </c>
      <c r="AG22" s="12">
        <v>7543</v>
      </c>
      <c r="AH22" s="12">
        <v>6521</v>
      </c>
      <c r="AJ22" s="12" t="s">
        <v>173</v>
      </c>
      <c r="AK22" s="12">
        <v>10</v>
      </c>
      <c r="AL22" s="12">
        <v>10</v>
      </c>
      <c r="AM22" s="12">
        <v>6</v>
      </c>
      <c r="AN22" s="12">
        <v>8</v>
      </c>
      <c r="AO22" s="12">
        <v>8</v>
      </c>
      <c r="AP22" s="12">
        <v>8</v>
      </c>
      <c r="AQ22" s="12">
        <v>8</v>
      </c>
      <c r="AR22" s="12">
        <v>8</v>
      </c>
      <c r="AS22" s="12">
        <v>16</v>
      </c>
      <c r="AT22" s="12">
        <v>20</v>
      </c>
      <c r="AU22" s="12">
        <v>2</v>
      </c>
      <c r="AV22" s="12">
        <v>10</v>
      </c>
      <c r="AW22" s="12">
        <v>8</v>
      </c>
      <c r="AX22" s="12">
        <v>8</v>
      </c>
      <c r="AY22" s="12">
        <v>8</v>
      </c>
      <c r="AZ22" s="12">
        <v>10</v>
      </c>
      <c r="BA22" s="12">
        <v>6</v>
      </c>
      <c r="BB22" s="12">
        <v>6</v>
      </c>
      <c r="BC22" s="12">
        <v>6</v>
      </c>
      <c r="BD22" s="12">
        <v>6</v>
      </c>
      <c r="BE22" s="12">
        <v>10</v>
      </c>
      <c r="BF22" s="12">
        <v>8</v>
      </c>
      <c r="BG22" s="12">
        <v>6</v>
      </c>
      <c r="BH22" s="12">
        <v>6</v>
      </c>
      <c r="BI22" s="12">
        <v>6</v>
      </c>
      <c r="BJ22" s="12">
        <v>10</v>
      </c>
      <c r="BK22" s="12">
        <v>10</v>
      </c>
      <c r="BL22" s="12">
        <v>10</v>
      </c>
      <c r="BM22" s="12">
        <v>8</v>
      </c>
      <c r="BN22" s="12">
        <v>4</v>
      </c>
      <c r="BO22" s="12">
        <v>8</v>
      </c>
      <c r="BP22" s="12">
        <v>8</v>
      </c>
      <c r="BQ22" s="12">
        <v>8</v>
      </c>
      <c r="BR22" s="12">
        <v>6</v>
      </c>
      <c r="BS22" s="12">
        <v>6</v>
      </c>
      <c r="BT22" s="12">
        <v>10</v>
      </c>
      <c r="BU22" s="12">
        <v>4</v>
      </c>
      <c r="BV22" s="12">
        <v>4</v>
      </c>
      <c r="BW22" s="67">
        <v>8</v>
      </c>
      <c r="BX22" s="67">
        <v>4</v>
      </c>
      <c r="BY22" s="67">
        <v>8</v>
      </c>
      <c r="BZ22" s="67">
        <v>10</v>
      </c>
      <c r="CA22" s="67">
        <v>12</v>
      </c>
      <c r="CB22" s="67">
        <v>10</v>
      </c>
      <c r="CC22" s="67">
        <v>10</v>
      </c>
      <c r="CD22" s="67">
        <v>12</v>
      </c>
      <c r="CE22" s="67">
        <v>10</v>
      </c>
      <c r="CF22" s="67">
        <v>10</v>
      </c>
      <c r="CG22" s="67">
        <v>12</v>
      </c>
      <c r="CH22" s="67">
        <v>10</v>
      </c>
      <c r="CI22" s="67">
        <v>10</v>
      </c>
      <c r="CJ22" s="67">
        <v>8</v>
      </c>
      <c r="CK22" s="67">
        <v>4</v>
      </c>
      <c r="CL22" s="67">
        <v>20</v>
      </c>
      <c r="CM22" s="67">
        <v>12</v>
      </c>
      <c r="CN22" s="67">
        <v>16</v>
      </c>
      <c r="CO22" s="67">
        <v>8</v>
      </c>
      <c r="CP22" s="67">
        <v>8</v>
      </c>
      <c r="CQ22" s="67">
        <v>8</v>
      </c>
      <c r="CR22" s="67">
        <v>10</v>
      </c>
      <c r="CS22" s="67">
        <v>8</v>
      </c>
      <c r="CT22" s="67">
        <v>8</v>
      </c>
      <c r="CU22" s="67">
        <v>10</v>
      </c>
      <c r="CV22" s="67">
        <v>10</v>
      </c>
      <c r="CW22" s="67">
        <v>10</v>
      </c>
      <c r="CX22" s="67">
        <v>4</v>
      </c>
      <c r="CY22" s="67">
        <v>6</v>
      </c>
      <c r="CZ22" s="67">
        <v>10</v>
      </c>
      <c r="DA22" s="67">
        <v>10</v>
      </c>
      <c r="DB22" s="67">
        <v>6</v>
      </c>
      <c r="DC22" s="67">
        <v>6</v>
      </c>
      <c r="DD22" s="67">
        <v>6</v>
      </c>
      <c r="DE22" s="67">
        <v>4</v>
      </c>
      <c r="DF22" s="67">
        <v>4</v>
      </c>
      <c r="DG22" s="67">
        <v>4</v>
      </c>
      <c r="DH22" s="67">
        <v>4</v>
      </c>
      <c r="DI22" s="67">
        <v>8</v>
      </c>
      <c r="DJ22" s="67">
        <v>4</v>
      </c>
      <c r="DK22" s="67">
        <v>10</v>
      </c>
      <c r="DL22" s="67">
        <v>4</v>
      </c>
      <c r="DM22" s="67">
        <v>10</v>
      </c>
      <c r="DN22" s="67">
        <v>10</v>
      </c>
      <c r="DO22" s="67">
        <v>8</v>
      </c>
      <c r="DP22" s="67">
        <v>4</v>
      </c>
      <c r="DQ22" s="67">
        <v>4</v>
      </c>
      <c r="DR22" s="67"/>
      <c r="DS22" s="67"/>
      <c r="DT22" s="67"/>
      <c r="DU22" s="67">
        <v>4</v>
      </c>
      <c r="DV22" s="67">
        <v>2</v>
      </c>
      <c r="DW22" s="67">
        <v>4</v>
      </c>
      <c r="DX22" s="67">
        <v>4</v>
      </c>
      <c r="DY22" s="67">
        <v>4</v>
      </c>
      <c r="DZ22" s="67">
        <v>4</v>
      </c>
      <c r="EA22" s="67">
        <v>4</v>
      </c>
      <c r="EB22" s="67">
        <v>4</v>
      </c>
      <c r="EC22" s="67">
        <v>4</v>
      </c>
      <c r="ED22" s="67">
        <v>4</v>
      </c>
      <c r="EE22" s="67">
        <v>4</v>
      </c>
      <c r="EF22" s="67"/>
      <c r="EG22" s="67"/>
      <c r="EH22" s="67">
        <v>19</v>
      </c>
    </row>
    <row r="23" spans="1:138" x14ac:dyDescent="0.2">
      <c r="A23" s="77" t="s">
        <v>881</v>
      </c>
      <c r="B23" s="77" t="s">
        <v>931</v>
      </c>
      <c r="C23" s="77">
        <v>2</v>
      </c>
      <c r="D23" s="77"/>
      <c r="E23" s="77">
        <v>2</v>
      </c>
      <c r="F23" s="77"/>
      <c r="G23" s="77"/>
      <c r="H23" s="77">
        <v>2</v>
      </c>
      <c r="I23" s="77"/>
      <c r="J23" s="77">
        <v>2</v>
      </c>
      <c r="K23" s="77"/>
      <c r="L23" s="77"/>
      <c r="M23" s="77"/>
      <c r="N23" s="77"/>
      <c r="O23" s="77"/>
      <c r="P23" s="77"/>
      <c r="Q23" s="77"/>
      <c r="R23" s="77">
        <v>11</v>
      </c>
      <c r="S23" s="77">
        <v>5</v>
      </c>
      <c r="T23" s="77">
        <v>0.9</v>
      </c>
      <c r="U23" s="77">
        <v>45</v>
      </c>
      <c r="V23" s="12">
        <f t="shared" si="0"/>
        <v>8</v>
      </c>
      <c r="W23" s="12"/>
      <c r="X23" s="77" t="str">
        <f>Taulukko1[[#This Row],[Main Race]]</f>
        <v>Eriedain</v>
      </c>
      <c r="Z23" s="12" t="s">
        <v>931</v>
      </c>
      <c r="AA23" s="12">
        <v>6543</v>
      </c>
      <c r="AB23" s="12">
        <v>6543</v>
      </c>
      <c r="AC23" s="12">
        <v>7654</v>
      </c>
      <c r="AD23" s="12">
        <v>6543</v>
      </c>
      <c r="AE23" s="12">
        <v>6543</v>
      </c>
      <c r="AF23" s="12">
        <v>6543</v>
      </c>
      <c r="AG23" s="12">
        <v>6543</v>
      </c>
      <c r="AH23" s="12">
        <v>7521</v>
      </c>
      <c r="AJ23" s="20" t="s">
        <v>1024</v>
      </c>
      <c r="AK23" s="12">
        <v>3</v>
      </c>
      <c r="AL23" s="12">
        <v>3</v>
      </c>
      <c r="AM23" s="12">
        <v>3</v>
      </c>
      <c r="AN23" s="12">
        <v>3</v>
      </c>
      <c r="AO23" s="12">
        <v>3</v>
      </c>
      <c r="AP23" s="12">
        <v>3</v>
      </c>
      <c r="AQ23" s="12">
        <v>3</v>
      </c>
      <c r="AR23" s="12">
        <v>3</v>
      </c>
      <c r="AS23" s="12">
        <v>3</v>
      </c>
      <c r="AT23" s="12">
        <v>3</v>
      </c>
      <c r="AU23" s="12">
        <v>3</v>
      </c>
      <c r="AV23" s="12">
        <v>3</v>
      </c>
      <c r="AW23" s="12">
        <v>3</v>
      </c>
      <c r="AX23" s="12">
        <v>3</v>
      </c>
      <c r="AY23" s="12">
        <v>3</v>
      </c>
      <c r="AZ23" s="12">
        <v>3</v>
      </c>
      <c r="BA23" s="12">
        <v>3</v>
      </c>
      <c r="BB23" s="12">
        <v>3</v>
      </c>
      <c r="BC23" s="12">
        <v>3</v>
      </c>
      <c r="BD23" s="12">
        <v>3</v>
      </c>
      <c r="BE23" s="12">
        <v>3</v>
      </c>
      <c r="BF23" s="12">
        <v>3</v>
      </c>
      <c r="BG23" s="12">
        <v>3</v>
      </c>
      <c r="BH23" s="12">
        <v>3</v>
      </c>
      <c r="BI23" s="12">
        <v>3</v>
      </c>
      <c r="BJ23" s="12">
        <v>6</v>
      </c>
      <c r="BK23" s="12">
        <v>3</v>
      </c>
      <c r="BL23" s="12">
        <v>8</v>
      </c>
      <c r="BM23" s="12">
        <v>3</v>
      </c>
      <c r="BN23" s="12">
        <v>2</v>
      </c>
      <c r="BO23" s="12">
        <v>3</v>
      </c>
      <c r="BP23" s="12">
        <v>3</v>
      </c>
      <c r="BQ23" s="12">
        <v>3</v>
      </c>
      <c r="BR23" s="12">
        <v>3</v>
      </c>
      <c r="BS23" s="12">
        <v>3</v>
      </c>
      <c r="BT23" s="12">
        <v>3</v>
      </c>
      <c r="BU23" s="12">
        <v>1</v>
      </c>
      <c r="BV23" s="12">
        <v>2</v>
      </c>
      <c r="BW23" s="67">
        <v>3</v>
      </c>
      <c r="BX23" s="67">
        <v>3</v>
      </c>
      <c r="BY23" s="67">
        <v>3</v>
      </c>
      <c r="BZ23" s="67">
        <v>3</v>
      </c>
      <c r="CA23" s="67">
        <v>3</v>
      </c>
      <c r="CB23" s="67">
        <v>2</v>
      </c>
      <c r="CC23" s="67">
        <v>2</v>
      </c>
      <c r="CD23" s="67">
        <v>3</v>
      </c>
      <c r="CE23" s="67">
        <v>3</v>
      </c>
      <c r="CF23" s="67">
        <v>3</v>
      </c>
      <c r="CG23" s="67">
        <v>4</v>
      </c>
      <c r="CH23" s="67">
        <v>3</v>
      </c>
      <c r="CI23" s="67">
        <v>3</v>
      </c>
      <c r="CJ23" s="67">
        <v>3</v>
      </c>
      <c r="CK23" s="67">
        <v>3</v>
      </c>
      <c r="CL23" s="67">
        <v>3</v>
      </c>
      <c r="CM23" s="67">
        <v>3</v>
      </c>
      <c r="CN23" s="67">
        <v>3</v>
      </c>
      <c r="CO23" s="67">
        <v>3</v>
      </c>
      <c r="CP23" s="67">
        <v>3</v>
      </c>
      <c r="CQ23" s="67">
        <v>3</v>
      </c>
      <c r="CR23" s="67">
        <v>3</v>
      </c>
      <c r="CS23" s="67">
        <v>3</v>
      </c>
      <c r="CT23" s="67">
        <v>3</v>
      </c>
      <c r="CU23" s="67">
        <v>3</v>
      </c>
      <c r="CV23" s="67">
        <v>3</v>
      </c>
      <c r="CW23" s="67">
        <v>3</v>
      </c>
      <c r="CX23" s="67">
        <v>3</v>
      </c>
      <c r="CY23" s="67">
        <v>3</v>
      </c>
      <c r="CZ23" s="67">
        <v>3</v>
      </c>
      <c r="DA23" s="67">
        <v>3</v>
      </c>
      <c r="DB23" s="67">
        <v>2</v>
      </c>
      <c r="DC23" s="67">
        <v>2</v>
      </c>
      <c r="DD23" s="67">
        <v>2</v>
      </c>
      <c r="DE23" s="67">
        <v>3</v>
      </c>
      <c r="DF23" s="67">
        <v>3</v>
      </c>
      <c r="DG23" s="67">
        <v>3</v>
      </c>
      <c r="DH23" s="67">
        <v>3</v>
      </c>
      <c r="DI23" s="67">
        <v>3</v>
      </c>
      <c r="DJ23" s="67">
        <v>3</v>
      </c>
      <c r="DK23" s="67">
        <v>3</v>
      </c>
      <c r="DL23" s="67">
        <v>3</v>
      </c>
      <c r="DM23" s="67">
        <v>3</v>
      </c>
      <c r="DN23" s="67">
        <v>3</v>
      </c>
      <c r="DO23" s="67">
        <v>3</v>
      </c>
      <c r="DP23" s="67">
        <v>3</v>
      </c>
      <c r="DQ23" s="67">
        <v>3</v>
      </c>
      <c r="DR23" s="67"/>
      <c r="DS23" s="67"/>
      <c r="DT23" s="67"/>
      <c r="DU23" s="67">
        <v>3</v>
      </c>
      <c r="DV23" s="67">
        <v>3</v>
      </c>
      <c r="DW23" s="67">
        <v>1</v>
      </c>
      <c r="DX23" s="67">
        <v>1</v>
      </c>
      <c r="DY23" s="67">
        <v>2</v>
      </c>
      <c r="DZ23" s="67">
        <v>1</v>
      </c>
      <c r="EA23" s="67">
        <v>1</v>
      </c>
      <c r="EB23" s="67">
        <v>2</v>
      </c>
      <c r="EC23" s="67">
        <v>1</v>
      </c>
      <c r="ED23" s="67">
        <v>1</v>
      </c>
      <c r="EE23" s="67">
        <v>1</v>
      </c>
      <c r="EF23" s="67"/>
      <c r="EG23" s="67"/>
      <c r="EH23" s="67">
        <v>20</v>
      </c>
    </row>
    <row r="24" spans="1:138" x14ac:dyDescent="0.2">
      <c r="A24" s="77" t="s">
        <v>4062</v>
      </c>
      <c r="B24" s="77" t="s">
        <v>4062</v>
      </c>
      <c r="C24" s="77">
        <v>4</v>
      </c>
      <c r="D24" s="77">
        <v>-2</v>
      </c>
      <c r="E24" s="77">
        <v>-5</v>
      </c>
      <c r="F24" s="77"/>
      <c r="G24" s="77"/>
      <c r="H24" s="77">
        <v>6</v>
      </c>
      <c r="I24" s="77">
        <v>-2</v>
      </c>
      <c r="J24" s="77">
        <v>2</v>
      </c>
      <c r="K24" s="77">
        <v>2</v>
      </c>
      <c r="L24" s="77">
        <v>2</v>
      </c>
      <c r="M24" s="77">
        <v>20</v>
      </c>
      <c r="N24" s="77">
        <v>20</v>
      </c>
      <c r="O24" s="77">
        <v>20</v>
      </c>
      <c r="P24" s="77">
        <v>20</v>
      </c>
      <c r="Q24" s="77">
        <v>50</v>
      </c>
      <c r="R24" s="77">
        <v>1</v>
      </c>
      <c r="S24" s="77">
        <v>4</v>
      </c>
      <c r="T24" s="77">
        <v>1</v>
      </c>
      <c r="U24" s="77">
        <v>30</v>
      </c>
      <c r="V24" s="12">
        <f t="shared" si="0"/>
        <v>7</v>
      </c>
      <c r="W24" s="12"/>
      <c r="X24" s="77" t="str">
        <f>Taulukko1[[#This Row],[Main Race]]</f>
        <v>Dragonborn</v>
      </c>
      <c r="Z24" s="12" t="s">
        <v>4062</v>
      </c>
      <c r="AA24" s="12">
        <v>6543</v>
      </c>
      <c r="AB24" s="12">
        <v>6543</v>
      </c>
      <c r="AC24" s="12">
        <v>6543</v>
      </c>
      <c r="AD24" s="12">
        <v>6543</v>
      </c>
      <c r="AE24" s="12">
        <v>6543</v>
      </c>
      <c r="AF24" s="12">
        <v>6543</v>
      </c>
      <c r="AG24" s="12">
        <v>6543</v>
      </c>
      <c r="AH24" s="12">
        <v>7531</v>
      </c>
      <c r="AJ24" s="12" t="s">
        <v>1026</v>
      </c>
      <c r="AK24" s="12">
        <v>3</v>
      </c>
      <c r="AL24" s="12">
        <v>3</v>
      </c>
      <c r="AM24" s="12">
        <v>3</v>
      </c>
      <c r="AN24" s="12">
        <v>3</v>
      </c>
      <c r="AO24" s="12">
        <v>3</v>
      </c>
      <c r="AP24" s="12">
        <v>3</v>
      </c>
      <c r="AQ24" s="12">
        <v>3</v>
      </c>
      <c r="AR24" s="12">
        <v>3</v>
      </c>
      <c r="AS24" s="12">
        <v>3</v>
      </c>
      <c r="AT24" s="12">
        <v>3</v>
      </c>
      <c r="AU24" s="12">
        <v>3</v>
      </c>
      <c r="AV24" s="12">
        <v>3</v>
      </c>
      <c r="AW24" s="12">
        <v>3</v>
      </c>
      <c r="AX24" s="12">
        <v>3</v>
      </c>
      <c r="AY24" s="12">
        <v>3</v>
      </c>
      <c r="AZ24" s="12">
        <v>3</v>
      </c>
      <c r="BA24" s="12">
        <v>3</v>
      </c>
      <c r="BB24" s="12">
        <v>3</v>
      </c>
      <c r="BC24" s="12">
        <v>3</v>
      </c>
      <c r="BD24" s="12">
        <v>3</v>
      </c>
      <c r="BE24" s="12">
        <v>3</v>
      </c>
      <c r="BF24" s="12">
        <v>3</v>
      </c>
      <c r="BG24" s="12">
        <v>3</v>
      </c>
      <c r="BH24" s="12">
        <v>3</v>
      </c>
      <c r="BI24" s="12">
        <v>3</v>
      </c>
      <c r="BJ24" s="12">
        <v>3</v>
      </c>
      <c r="BK24" s="12">
        <v>3</v>
      </c>
      <c r="BL24" s="12">
        <v>3</v>
      </c>
      <c r="BM24" s="12">
        <v>3</v>
      </c>
      <c r="BN24" s="12">
        <v>2</v>
      </c>
      <c r="BO24" s="12">
        <v>3</v>
      </c>
      <c r="BP24" s="12">
        <v>3</v>
      </c>
      <c r="BQ24" s="12">
        <v>3</v>
      </c>
      <c r="BR24" s="12">
        <v>3</v>
      </c>
      <c r="BS24" s="12">
        <v>3</v>
      </c>
      <c r="BT24" s="12">
        <v>3</v>
      </c>
      <c r="BU24" s="12">
        <v>3</v>
      </c>
      <c r="BV24" s="12">
        <v>3</v>
      </c>
      <c r="BW24" s="67">
        <v>3</v>
      </c>
      <c r="BX24" s="67">
        <v>3</v>
      </c>
      <c r="BY24" s="67">
        <v>3</v>
      </c>
      <c r="BZ24" s="67">
        <v>3</v>
      </c>
      <c r="CA24" s="67">
        <v>3</v>
      </c>
      <c r="CB24" s="67">
        <v>2</v>
      </c>
      <c r="CC24" s="67">
        <v>2</v>
      </c>
      <c r="CD24" s="67">
        <v>3</v>
      </c>
      <c r="CE24" s="67">
        <v>3</v>
      </c>
      <c r="CF24" s="67">
        <v>3</v>
      </c>
      <c r="CG24" s="67">
        <v>3</v>
      </c>
      <c r="CH24" s="67">
        <v>3</v>
      </c>
      <c r="CI24" s="67">
        <v>3</v>
      </c>
      <c r="CJ24" s="67">
        <v>3</v>
      </c>
      <c r="CK24" s="67">
        <v>3</v>
      </c>
      <c r="CL24" s="67">
        <v>3</v>
      </c>
      <c r="CM24" s="67">
        <v>3</v>
      </c>
      <c r="CN24" s="67">
        <v>3</v>
      </c>
      <c r="CO24" s="67">
        <v>3</v>
      </c>
      <c r="CP24" s="67">
        <v>3</v>
      </c>
      <c r="CQ24" s="67">
        <v>3</v>
      </c>
      <c r="CR24" s="67">
        <v>3</v>
      </c>
      <c r="CS24" s="67">
        <v>3</v>
      </c>
      <c r="CT24" s="67">
        <v>3</v>
      </c>
      <c r="CU24" s="67">
        <v>3</v>
      </c>
      <c r="CV24" s="67">
        <v>3</v>
      </c>
      <c r="CW24" s="67">
        <v>3</v>
      </c>
      <c r="CX24" s="67">
        <v>3</v>
      </c>
      <c r="CY24" s="67">
        <v>3</v>
      </c>
      <c r="CZ24" s="67">
        <v>3</v>
      </c>
      <c r="DA24" s="67">
        <v>3</v>
      </c>
      <c r="DB24" s="67">
        <v>3</v>
      </c>
      <c r="DC24" s="67">
        <v>3</v>
      </c>
      <c r="DD24" s="67">
        <v>3</v>
      </c>
      <c r="DE24" s="67">
        <v>3</v>
      </c>
      <c r="DF24" s="67">
        <v>3</v>
      </c>
      <c r="DG24" s="67">
        <v>3</v>
      </c>
      <c r="DH24" s="67">
        <v>3</v>
      </c>
      <c r="DI24" s="67">
        <v>3</v>
      </c>
      <c r="DJ24" s="67">
        <v>3</v>
      </c>
      <c r="DK24" s="67">
        <v>3</v>
      </c>
      <c r="DL24" s="67">
        <v>3</v>
      </c>
      <c r="DM24" s="67">
        <v>3</v>
      </c>
      <c r="DN24" s="67">
        <v>3</v>
      </c>
      <c r="DO24" s="67">
        <v>3</v>
      </c>
      <c r="DP24" s="67">
        <v>3</v>
      </c>
      <c r="DQ24" s="67">
        <v>3</v>
      </c>
      <c r="DR24" s="67"/>
      <c r="DS24" s="67"/>
      <c r="DT24" s="67"/>
      <c r="DU24" s="67">
        <v>3</v>
      </c>
      <c r="DV24" s="67">
        <v>5</v>
      </c>
      <c r="DW24" s="67">
        <v>3</v>
      </c>
      <c r="DX24" s="67">
        <v>3</v>
      </c>
      <c r="DY24" s="67">
        <v>3</v>
      </c>
      <c r="DZ24" s="67">
        <v>3</v>
      </c>
      <c r="EA24" s="67">
        <v>3</v>
      </c>
      <c r="EB24" s="67">
        <v>3</v>
      </c>
      <c r="EC24" s="67">
        <v>3</v>
      </c>
      <c r="ED24" s="67">
        <v>3</v>
      </c>
      <c r="EE24" s="67">
        <v>3</v>
      </c>
      <c r="EF24" s="67"/>
      <c r="EG24" s="67"/>
      <c r="EH24" s="67">
        <v>21</v>
      </c>
    </row>
    <row r="25" spans="1:138" x14ac:dyDescent="0.2">
      <c r="A25" s="77" t="s">
        <v>1015</v>
      </c>
      <c r="B25" s="77" t="s">
        <v>1016</v>
      </c>
      <c r="C25" s="77">
        <v>2</v>
      </c>
      <c r="D25" s="77">
        <v>2</v>
      </c>
      <c r="E25" s="77"/>
      <c r="F25" s="77"/>
      <c r="G25" s="77"/>
      <c r="H25" s="77">
        <v>2</v>
      </c>
      <c r="I25" s="77">
        <v>2</v>
      </c>
      <c r="J25" s="77">
        <v>-2</v>
      </c>
      <c r="K25" s="77">
        <v>2</v>
      </c>
      <c r="L25" s="77">
        <v>-2</v>
      </c>
      <c r="M25" s="77"/>
      <c r="N25" s="77"/>
      <c r="O25" s="77"/>
      <c r="P25" s="77"/>
      <c r="Q25" s="77"/>
      <c r="R25" s="77">
        <v>12</v>
      </c>
      <c r="S25" s="77">
        <v>5</v>
      </c>
      <c r="T25" s="77">
        <v>1</v>
      </c>
      <c r="U25" s="77">
        <f>S25*10</f>
        <v>50</v>
      </c>
      <c r="V25" s="12">
        <f t="shared" si="0"/>
        <v>6</v>
      </c>
      <c r="W25" s="12"/>
      <c r="X25" s="77" t="str">
        <f>Taulukko1[[#This Row],[Main Race]]</f>
        <v>Dark Tribes</v>
      </c>
      <c r="Z25" s="12" t="s">
        <v>1016</v>
      </c>
      <c r="AA25" s="12">
        <v>6543</v>
      </c>
      <c r="AB25" s="12">
        <v>6543</v>
      </c>
      <c r="AC25" s="12">
        <v>7654</v>
      </c>
      <c r="AD25" s="12">
        <v>6543</v>
      </c>
      <c r="AE25" s="12">
        <v>6543</v>
      </c>
      <c r="AF25" s="12">
        <v>6543</v>
      </c>
      <c r="AG25" s="12">
        <v>6543</v>
      </c>
      <c r="AH25" s="12">
        <v>6521</v>
      </c>
      <c r="AJ25" s="12" t="s">
        <v>1028</v>
      </c>
      <c r="AK25" s="12">
        <v>3</v>
      </c>
      <c r="AL25" s="12">
        <v>3</v>
      </c>
      <c r="AM25" s="12">
        <v>3</v>
      </c>
      <c r="AN25" s="12">
        <v>3</v>
      </c>
      <c r="AO25" s="12">
        <v>3</v>
      </c>
      <c r="AP25" s="12">
        <v>3</v>
      </c>
      <c r="AQ25" s="12">
        <v>3</v>
      </c>
      <c r="AR25" s="12">
        <v>3</v>
      </c>
      <c r="AS25" s="12">
        <v>3</v>
      </c>
      <c r="AT25" s="12">
        <v>3</v>
      </c>
      <c r="AU25" s="12">
        <v>3</v>
      </c>
      <c r="AV25" s="12">
        <v>3</v>
      </c>
      <c r="AW25" s="12">
        <v>3</v>
      </c>
      <c r="AX25" s="12">
        <v>3</v>
      </c>
      <c r="AY25" s="12">
        <v>3</v>
      </c>
      <c r="AZ25" s="12">
        <v>3</v>
      </c>
      <c r="BA25" s="12">
        <v>3</v>
      </c>
      <c r="BB25" s="12">
        <v>3</v>
      </c>
      <c r="BC25" s="12">
        <v>3</v>
      </c>
      <c r="BD25" s="12">
        <v>3</v>
      </c>
      <c r="BE25" s="12">
        <v>3</v>
      </c>
      <c r="BF25" s="12">
        <v>3</v>
      </c>
      <c r="BG25" s="12">
        <v>3</v>
      </c>
      <c r="BH25" s="12">
        <v>3</v>
      </c>
      <c r="BI25" s="12">
        <v>3</v>
      </c>
      <c r="BJ25" s="12">
        <v>3</v>
      </c>
      <c r="BK25" s="12">
        <v>3</v>
      </c>
      <c r="BL25" s="12">
        <v>3</v>
      </c>
      <c r="BM25" s="12">
        <v>3</v>
      </c>
      <c r="BN25" s="12">
        <v>2</v>
      </c>
      <c r="BO25" s="12">
        <v>3</v>
      </c>
      <c r="BP25" s="12">
        <v>3</v>
      </c>
      <c r="BQ25" s="12">
        <v>3</v>
      </c>
      <c r="BR25" s="12">
        <v>3</v>
      </c>
      <c r="BS25" s="12">
        <v>3</v>
      </c>
      <c r="BT25" s="12">
        <v>3</v>
      </c>
      <c r="BU25" s="12">
        <v>3</v>
      </c>
      <c r="BV25" s="12">
        <v>3</v>
      </c>
      <c r="BW25" s="67">
        <v>3</v>
      </c>
      <c r="BX25" s="67">
        <v>3</v>
      </c>
      <c r="BY25" s="67">
        <v>3</v>
      </c>
      <c r="BZ25" s="67">
        <v>3</v>
      </c>
      <c r="CA25" s="67">
        <v>3</v>
      </c>
      <c r="CB25" s="67">
        <v>2</v>
      </c>
      <c r="CC25" s="67">
        <v>2</v>
      </c>
      <c r="CD25" s="67">
        <v>3</v>
      </c>
      <c r="CE25" s="67">
        <v>3</v>
      </c>
      <c r="CF25" s="67">
        <v>3</v>
      </c>
      <c r="CG25" s="67">
        <v>3</v>
      </c>
      <c r="CH25" s="67">
        <v>3</v>
      </c>
      <c r="CI25" s="67">
        <v>3</v>
      </c>
      <c r="CJ25" s="67">
        <v>3</v>
      </c>
      <c r="CK25" s="67">
        <v>3</v>
      </c>
      <c r="CL25" s="67">
        <v>3</v>
      </c>
      <c r="CM25" s="67">
        <v>3</v>
      </c>
      <c r="CN25" s="67">
        <v>3</v>
      </c>
      <c r="CO25" s="67">
        <v>3</v>
      </c>
      <c r="CP25" s="67">
        <v>3</v>
      </c>
      <c r="CQ25" s="67">
        <v>3</v>
      </c>
      <c r="CR25" s="67">
        <v>3</v>
      </c>
      <c r="CS25" s="67">
        <v>3</v>
      </c>
      <c r="CT25" s="67">
        <v>3</v>
      </c>
      <c r="CU25" s="67">
        <v>3</v>
      </c>
      <c r="CV25" s="67">
        <v>3</v>
      </c>
      <c r="CW25" s="67">
        <v>3</v>
      </c>
      <c r="CX25" s="67">
        <v>3</v>
      </c>
      <c r="CY25" s="67">
        <v>3</v>
      </c>
      <c r="CZ25" s="67">
        <v>3</v>
      </c>
      <c r="DA25" s="67">
        <v>3</v>
      </c>
      <c r="DB25" s="67">
        <v>3</v>
      </c>
      <c r="DC25" s="67">
        <v>3</v>
      </c>
      <c r="DD25" s="67">
        <v>3</v>
      </c>
      <c r="DE25" s="67">
        <v>3</v>
      </c>
      <c r="DF25" s="67">
        <v>3</v>
      </c>
      <c r="DG25" s="67">
        <v>3</v>
      </c>
      <c r="DH25" s="67">
        <v>3</v>
      </c>
      <c r="DI25" s="67">
        <v>3</v>
      </c>
      <c r="DJ25" s="67">
        <v>3</v>
      </c>
      <c r="DK25" s="67">
        <v>3</v>
      </c>
      <c r="DL25" s="67">
        <v>3</v>
      </c>
      <c r="DM25" s="67">
        <v>3</v>
      </c>
      <c r="DN25" s="67">
        <v>3</v>
      </c>
      <c r="DO25" s="67">
        <v>3</v>
      </c>
      <c r="DP25" s="67">
        <v>3</v>
      </c>
      <c r="DQ25" s="67">
        <v>3</v>
      </c>
      <c r="DR25" s="67"/>
      <c r="DS25" s="67"/>
      <c r="DT25" s="67"/>
      <c r="DU25" s="67">
        <v>3</v>
      </c>
      <c r="DV25" s="67">
        <v>3</v>
      </c>
      <c r="DW25" s="67">
        <v>3</v>
      </c>
      <c r="DX25" s="67">
        <v>3</v>
      </c>
      <c r="DY25" s="67">
        <v>3</v>
      </c>
      <c r="DZ25" s="67">
        <v>3</v>
      </c>
      <c r="EA25" s="67">
        <v>3</v>
      </c>
      <c r="EB25" s="67">
        <v>3</v>
      </c>
      <c r="EC25" s="67">
        <v>3</v>
      </c>
      <c r="ED25" s="67">
        <v>3</v>
      </c>
      <c r="EE25" s="67">
        <v>3</v>
      </c>
      <c r="EF25" s="67"/>
      <c r="EG25" s="67"/>
      <c r="EH25" s="67">
        <v>22</v>
      </c>
    </row>
    <row r="26" spans="1:138" x14ac:dyDescent="0.2">
      <c r="A26" s="77" t="s">
        <v>897</v>
      </c>
      <c r="B26" s="77" t="s">
        <v>958</v>
      </c>
      <c r="C26" s="77">
        <v>2</v>
      </c>
      <c r="D26" s="77">
        <v>3</v>
      </c>
      <c r="E26" s="77">
        <v>-2</v>
      </c>
      <c r="F26" s="77">
        <v>2</v>
      </c>
      <c r="G26" s="77"/>
      <c r="H26" s="77">
        <v>3</v>
      </c>
      <c r="I26" s="77">
        <v>4</v>
      </c>
      <c r="J26" s="77"/>
      <c r="K26" s="77"/>
      <c r="L26" s="77">
        <v>2</v>
      </c>
      <c r="M26" s="77"/>
      <c r="N26" s="77"/>
      <c r="O26" s="77"/>
      <c r="P26" s="77">
        <v>5</v>
      </c>
      <c r="Q26" s="77">
        <v>100</v>
      </c>
      <c r="R26" s="77">
        <v>1</v>
      </c>
      <c r="S26" s="77">
        <v>3</v>
      </c>
      <c r="T26" s="77">
        <v>1</v>
      </c>
      <c r="U26" s="77">
        <v>10</v>
      </c>
      <c r="V26" s="12">
        <f t="shared" si="0"/>
        <v>14</v>
      </c>
      <c r="W26" s="12"/>
      <c r="X26" s="77" t="str">
        <f>Taulukko1[[#This Row],[Main Race]]</f>
        <v>Drow</v>
      </c>
      <c r="Z26" s="12" t="s">
        <v>958</v>
      </c>
      <c r="AA26" s="12">
        <v>6543</v>
      </c>
      <c r="AB26" s="12">
        <v>7654</v>
      </c>
      <c r="AC26" s="12">
        <v>6543</v>
      </c>
      <c r="AD26" s="12">
        <v>6543</v>
      </c>
      <c r="AE26" s="12">
        <v>6543</v>
      </c>
      <c r="AF26" s="12">
        <v>6543</v>
      </c>
      <c r="AG26" s="12">
        <v>6543</v>
      </c>
      <c r="AH26" s="12">
        <v>7421</v>
      </c>
      <c r="AJ26" s="20" t="s">
        <v>1030</v>
      </c>
      <c r="AK26" s="12"/>
      <c r="AL26" s="12"/>
      <c r="AM26" s="12"/>
      <c r="AN26" s="12"/>
      <c r="AO26" s="12"/>
      <c r="AP26" s="12"/>
      <c r="AQ26" s="12"/>
      <c r="AR26" s="12">
        <v>1</v>
      </c>
      <c r="AS26" s="12">
        <v>1</v>
      </c>
      <c r="AT26" s="12">
        <v>1</v>
      </c>
      <c r="AU26" s="12">
        <v>1</v>
      </c>
      <c r="AV26" s="12">
        <v>1</v>
      </c>
      <c r="AW26" s="12"/>
      <c r="AX26" s="12">
        <v>3</v>
      </c>
      <c r="AY26" s="12"/>
      <c r="AZ26" s="12"/>
      <c r="BA26" s="12"/>
      <c r="BB26" s="12"/>
      <c r="BC26" s="12">
        <v>8</v>
      </c>
      <c r="BD26" s="12">
        <v>3</v>
      </c>
      <c r="BE26" s="12">
        <v>1</v>
      </c>
      <c r="BF26" s="12"/>
      <c r="BG26" s="12">
        <v>1</v>
      </c>
      <c r="BH26" s="12">
        <v>1</v>
      </c>
      <c r="BI26" s="12">
        <v>1</v>
      </c>
      <c r="BJ26" s="12"/>
      <c r="BK26" s="12"/>
      <c r="BL26" s="12"/>
      <c r="BM26" s="12">
        <v>1</v>
      </c>
      <c r="BN26" s="12">
        <v>3</v>
      </c>
      <c r="BO26" s="12">
        <v>1</v>
      </c>
      <c r="BP26" s="12">
        <v>3</v>
      </c>
      <c r="BQ26" s="12">
        <v>1</v>
      </c>
      <c r="BR26" s="12">
        <v>3</v>
      </c>
      <c r="BS26" s="12"/>
      <c r="BT26" s="12"/>
      <c r="BU26" s="12"/>
      <c r="BV26" s="12"/>
      <c r="BW26" s="67">
        <v>2</v>
      </c>
      <c r="BX26" s="67"/>
      <c r="BY26" s="67">
        <v>1</v>
      </c>
      <c r="BZ26" s="67"/>
      <c r="CA26" s="67"/>
      <c r="CB26" s="67">
        <v>1</v>
      </c>
      <c r="CC26" s="67">
        <v>1</v>
      </c>
      <c r="CD26" s="67">
        <v>1</v>
      </c>
      <c r="CE26" s="67"/>
      <c r="CF26" s="67"/>
      <c r="CG26" s="67">
        <v>1</v>
      </c>
      <c r="CH26" s="67">
        <v>1</v>
      </c>
      <c r="CI26" s="67">
        <v>1</v>
      </c>
      <c r="CJ26" s="67"/>
      <c r="CK26" s="67">
        <v>1</v>
      </c>
      <c r="CL26" s="67">
        <v>1</v>
      </c>
      <c r="CM26" s="67">
        <v>1</v>
      </c>
      <c r="CN26" s="67">
        <v>1</v>
      </c>
      <c r="CO26" s="67">
        <v>1</v>
      </c>
      <c r="CP26" s="67">
        <v>8</v>
      </c>
      <c r="CQ26" s="67">
        <v>3</v>
      </c>
      <c r="CR26" s="67">
        <v>1</v>
      </c>
      <c r="CS26" s="67">
        <v>1</v>
      </c>
      <c r="CT26" s="67">
        <v>1</v>
      </c>
      <c r="CU26" s="67">
        <v>1</v>
      </c>
      <c r="CV26" s="67">
        <v>1</v>
      </c>
      <c r="CW26" s="67">
        <v>1</v>
      </c>
      <c r="CX26" s="67"/>
      <c r="CY26" s="67">
        <v>2</v>
      </c>
      <c r="CZ26" s="67">
        <v>1</v>
      </c>
      <c r="DA26" s="67">
        <v>1</v>
      </c>
      <c r="DB26" s="67"/>
      <c r="DC26" s="67"/>
      <c r="DD26" s="67"/>
      <c r="DE26" s="67">
        <v>1</v>
      </c>
      <c r="DF26" s="67">
        <v>1</v>
      </c>
      <c r="DG26" s="67">
        <v>1</v>
      </c>
      <c r="DH26" s="67">
        <v>1</v>
      </c>
      <c r="DI26" s="67">
        <v>3</v>
      </c>
      <c r="DJ26" s="67">
        <v>5</v>
      </c>
      <c r="DK26" s="67">
        <v>2</v>
      </c>
      <c r="DL26" s="67">
        <v>5</v>
      </c>
      <c r="DM26" s="67">
        <v>2</v>
      </c>
      <c r="DN26" s="67">
        <v>2</v>
      </c>
      <c r="DO26" s="67">
        <v>2</v>
      </c>
      <c r="DP26" s="67">
        <v>5</v>
      </c>
      <c r="DQ26" s="67">
        <v>5</v>
      </c>
      <c r="DR26" s="67"/>
      <c r="DS26" s="67"/>
      <c r="DT26" s="67"/>
      <c r="DU26" s="67"/>
      <c r="DV26" s="67">
        <v>1</v>
      </c>
      <c r="DW26" s="67"/>
      <c r="DX26" s="67">
        <v>1</v>
      </c>
      <c r="DY26" s="67"/>
      <c r="DZ26" s="67"/>
      <c r="EA26" s="67"/>
      <c r="EB26" s="67"/>
      <c r="EC26" s="67"/>
      <c r="ED26" s="67"/>
      <c r="EE26" s="67"/>
      <c r="EF26" s="67"/>
      <c r="EG26" s="67"/>
      <c r="EH26" s="67">
        <v>23</v>
      </c>
    </row>
    <row r="27" spans="1:138" x14ac:dyDescent="0.2">
      <c r="A27" s="77" t="s">
        <v>897</v>
      </c>
      <c r="B27" s="77" t="s">
        <v>957</v>
      </c>
      <c r="C27" s="77">
        <v>2</v>
      </c>
      <c r="D27" s="77">
        <v>4</v>
      </c>
      <c r="E27" s="77">
        <v>-2</v>
      </c>
      <c r="F27" s="77">
        <v>2</v>
      </c>
      <c r="G27" s="77"/>
      <c r="H27" s="77">
        <v>2</v>
      </c>
      <c r="I27" s="77">
        <v>4</v>
      </c>
      <c r="J27" s="77"/>
      <c r="K27" s="77">
        <v>2</v>
      </c>
      <c r="L27" s="77"/>
      <c r="M27" s="77"/>
      <c r="N27" s="77"/>
      <c r="O27" s="77"/>
      <c r="P27" s="77">
        <v>5</v>
      </c>
      <c r="Q27" s="77">
        <v>100</v>
      </c>
      <c r="R27" s="77">
        <v>3</v>
      </c>
      <c r="S27" s="77">
        <v>3</v>
      </c>
      <c r="T27" s="77">
        <v>1</v>
      </c>
      <c r="U27" s="77">
        <v>20</v>
      </c>
      <c r="V27" s="12">
        <f t="shared" si="0"/>
        <v>14</v>
      </c>
      <c r="W27" s="12"/>
      <c r="X27" s="77" t="str">
        <f>Taulukko1[[#This Row],[Main Race]]</f>
        <v>Drow</v>
      </c>
      <c r="Z27" s="12" t="s">
        <v>957</v>
      </c>
      <c r="AA27" s="12">
        <v>7654</v>
      </c>
      <c r="AB27" s="12">
        <v>6543</v>
      </c>
      <c r="AC27" s="12">
        <v>6543</v>
      </c>
      <c r="AD27" s="12">
        <v>6543</v>
      </c>
      <c r="AE27" s="12">
        <v>6543</v>
      </c>
      <c r="AF27" s="12">
        <v>6543</v>
      </c>
      <c r="AG27" s="12">
        <v>6543</v>
      </c>
      <c r="AH27" s="12">
        <v>6321</v>
      </c>
      <c r="AJ27" s="12" t="s">
        <v>587</v>
      </c>
      <c r="AK27" s="12"/>
      <c r="AL27" s="12"/>
      <c r="AM27" s="12"/>
      <c r="AN27" s="12"/>
      <c r="AO27" s="12"/>
      <c r="AP27" s="12"/>
      <c r="AQ27" s="12"/>
      <c r="AR27" s="12">
        <v>1</v>
      </c>
      <c r="AS27" s="12">
        <v>1</v>
      </c>
      <c r="AT27" s="12">
        <v>1</v>
      </c>
      <c r="AU27" s="12">
        <v>1</v>
      </c>
      <c r="AV27" s="12">
        <v>1</v>
      </c>
      <c r="AW27" s="12"/>
      <c r="AX27" s="12"/>
      <c r="AY27" s="12"/>
      <c r="AZ27" s="12"/>
      <c r="BA27" s="12"/>
      <c r="BB27" s="12"/>
      <c r="BC27" s="12">
        <v>8</v>
      </c>
      <c r="BD27" s="12">
        <v>3</v>
      </c>
      <c r="BE27" s="12">
        <v>1</v>
      </c>
      <c r="BF27" s="12"/>
      <c r="BG27" s="12"/>
      <c r="BH27" s="12"/>
      <c r="BI27" s="12">
        <v>1</v>
      </c>
      <c r="BJ27" s="12"/>
      <c r="BK27" s="12"/>
      <c r="BL27" s="12"/>
      <c r="BM27" s="12">
        <v>1</v>
      </c>
      <c r="BN27" s="12">
        <v>3</v>
      </c>
      <c r="BO27" s="12"/>
      <c r="BP27" s="12">
        <v>3</v>
      </c>
      <c r="BQ27" s="12"/>
      <c r="BR27" s="12"/>
      <c r="BS27" s="12"/>
      <c r="BT27" s="12"/>
      <c r="BU27" s="12"/>
      <c r="BV27" s="12"/>
      <c r="BW27" s="67">
        <v>2</v>
      </c>
      <c r="BX27" s="67"/>
      <c r="BY27" s="67">
        <v>1</v>
      </c>
      <c r="BZ27" s="67"/>
      <c r="CA27" s="67"/>
      <c r="CB27" s="67">
        <v>1</v>
      </c>
      <c r="CC27" s="67">
        <v>1</v>
      </c>
      <c r="CD27" s="67">
        <v>1</v>
      </c>
      <c r="CE27" s="67"/>
      <c r="CF27" s="67"/>
      <c r="CG27" s="67">
        <v>1</v>
      </c>
      <c r="CH27" s="67">
        <v>1</v>
      </c>
      <c r="CI27" s="67">
        <v>1</v>
      </c>
      <c r="CJ27" s="67"/>
      <c r="CK27" s="67"/>
      <c r="CL27" s="67">
        <v>1</v>
      </c>
      <c r="CM27" s="67">
        <v>1</v>
      </c>
      <c r="CN27" s="67">
        <v>1</v>
      </c>
      <c r="CO27" s="67">
        <v>1</v>
      </c>
      <c r="CP27" s="67">
        <v>8</v>
      </c>
      <c r="CQ27" s="67">
        <v>3</v>
      </c>
      <c r="CR27" s="67">
        <v>0</v>
      </c>
      <c r="CS27" s="67">
        <v>1</v>
      </c>
      <c r="CT27" s="67">
        <v>1</v>
      </c>
      <c r="CU27" s="67"/>
      <c r="CV27" s="67"/>
      <c r="CW27" s="67"/>
      <c r="CX27" s="67"/>
      <c r="CY27" s="67">
        <v>2</v>
      </c>
      <c r="CZ27" s="67">
        <v>1</v>
      </c>
      <c r="DA27" s="67">
        <v>1</v>
      </c>
      <c r="DB27" s="67"/>
      <c r="DC27" s="67"/>
      <c r="DD27" s="67"/>
      <c r="DE27" s="67"/>
      <c r="DF27" s="67"/>
      <c r="DG27" s="67"/>
      <c r="DH27" s="67"/>
      <c r="DI27" s="67">
        <v>3</v>
      </c>
      <c r="DJ27" s="67">
        <v>5</v>
      </c>
      <c r="DK27" s="67">
        <v>2</v>
      </c>
      <c r="DL27" s="67">
        <v>5</v>
      </c>
      <c r="DM27" s="67">
        <v>2</v>
      </c>
      <c r="DN27" s="67">
        <v>2</v>
      </c>
      <c r="DO27" s="67">
        <v>2</v>
      </c>
      <c r="DP27" s="67">
        <v>5</v>
      </c>
      <c r="DQ27" s="67">
        <v>5</v>
      </c>
      <c r="DR27" s="67"/>
      <c r="DS27" s="67"/>
      <c r="DT27" s="67"/>
      <c r="DU27" s="67"/>
      <c r="DV27" s="67"/>
      <c r="DW27" s="67"/>
      <c r="DX27" s="67">
        <v>1</v>
      </c>
      <c r="DY27" s="67"/>
      <c r="DZ27" s="67"/>
      <c r="EA27" s="67"/>
      <c r="EB27" s="67"/>
      <c r="EC27" s="67"/>
      <c r="ED27" s="67"/>
      <c r="EE27" s="67"/>
      <c r="EF27" s="67"/>
      <c r="EG27" s="67"/>
      <c r="EH27" s="67">
        <v>24</v>
      </c>
    </row>
    <row r="28" spans="1:138" x14ac:dyDescent="0.2">
      <c r="A28" s="77" t="s">
        <v>917</v>
      </c>
      <c r="B28" s="77" t="s">
        <v>924</v>
      </c>
      <c r="C28" s="77">
        <v>4</v>
      </c>
      <c r="D28" s="77"/>
      <c r="E28" s="77"/>
      <c r="F28" s="77"/>
      <c r="G28" s="77"/>
      <c r="H28" s="77">
        <v>4</v>
      </c>
      <c r="I28" s="77"/>
      <c r="J28" s="77">
        <v>2</v>
      </c>
      <c r="K28" s="77"/>
      <c r="L28" s="77"/>
      <c r="M28" s="77"/>
      <c r="N28" s="77"/>
      <c r="O28" s="77"/>
      <c r="P28" s="77">
        <v>5</v>
      </c>
      <c r="Q28" s="77">
        <v>15</v>
      </c>
      <c r="R28" s="77">
        <v>10</v>
      </c>
      <c r="S28" s="77">
        <v>4</v>
      </c>
      <c r="T28" s="77">
        <v>0.75</v>
      </c>
      <c r="U28" s="77">
        <v>50</v>
      </c>
      <c r="V28" s="12">
        <f t="shared" si="0"/>
        <v>10</v>
      </c>
      <c r="W28" s="12"/>
      <c r="X28" s="77" t="str">
        <f>Taulukko1[[#This Row],[Main Race]]</f>
        <v>High Man</v>
      </c>
      <c r="Z28" s="12" t="s">
        <v>924</v>
      </c>
      <c r="AA28" s="12">
        <v>6543</v>
      </c>
      <c r="AB28" s="12">
        <v>6543</v>
      </c>
      <c r="AC28" s="12">
        <v>7654</v>
      </c>
      <c r="AD28" s="12">
        <v>6543</v>
      </c>
      <c r="AE28" s="12">
        <v>6543</v>
      </c>
      <c r="AF28" s="12">
        <v>6543</v>
      </c>
      <c r="AG28" s="12">
        <v>6543</v>
      </c>
      <c r="AH28" s="12">
        <v>7531</v>
      </c>
      <c r="AJ28" s="20" t="s">
        <v>1033</v>
      </c>
      <c r="AK28" s="12"/>
      <c r="AL28" s="12">
        <v>2</v>
      </c>
      <c r="AM28" s="12">
        <v>3</v>
      </c>
      <c r="AN28" s="12">
        <v>2</v>
      </c>
      <c r="AO28" s="12">
        <v>2</v>
      </c>
      <c r="AP28" s="12">
        <v>2</v>
      </c>
      <c r="AQ28" s="12">
        <v>4</v>
      </c>
      <c r="AR28" s="12">
        <v>3</v>
      </c>
      <c r="AS28" s="12">
        <v>4</v>
      </c>
      <c r="AT28" s="12">
        <v>3</v>
      </c>
      <c r="AU28" s="12">
        <v>4</v>
      </c>
      <c r="AV28" s="12">
        <v>5</v>
      </c>
      <c r="AW28" s="12">
        <v>2</v>
      </c>
      <c r="AX28" s="12">
        <v>5</v>
      </c>
      <c r="AY28" s="12">
        <v>2</v>
      </c>
      <c r="AZ28" s="12">
        <v>2</v>
      </c>
      <c r="BA28" s="12">
        <v>2</v>
      </c>
      <c r="BB28" s="12">
        <v>2</v>
      </c>
      <c r="BC28" s="12">
        <v>1</v>
      </c>
      <c r="BD28" s="12">
        <v>4</v>
      </c>
      <c r="BE28" s="12">
        <v>1</v>
      </c>
      <c r="BF28" s="12">
        <v>1</v>
      </c>
      <c r="BG28" s="12">
        <v>1</v>
      </c>
      <c r="BH28" s="12">
        <v>1</v>
      </c>
      <c r="BI28" s="12">
        <v>1</v>
      </c>
      <c r="BJ28" s="12">
        <v>1</v>
      </c>
      <c r="BK28" s="12">
        <v>1</v>
      </c>
      <c r="BL28" s="12"/>
      <c r="BM28" s="12">
        <v>1</v>
      </c>
      <c r="BN28" s="12">
        <v>2</v>
      </c>
      <c r="BO28" s="12">
        <v>1</v>
      </c>
      <c r="BP28" s="12">
        <v>3</v>
      </c>
      <c r="BQ28" s="12">
        <v>1</v>
      </c>
      <c r="BR28" s="12">
        <v>4</v>
      </c>
      <c r="BS28" s="12">
        <v>6</v>
      </c>
      <c r="BT28" s="12"/>
      <c r="BU28" s="12">
        <v>2</v>
      </c>
      <c r="BV28" s="12">
        <v>2</v>
      </c>
      <c r="BW28" s="67">
        <v>2</v>
      </c>
      <c r="BX28" s="67">
        <v>4</v>
      </c>
      <c r="BY28" s="67">
        <v>2</v>
      </c>
      <c r="BZ28" s="67"/>
      <c r="CA28" s="67"/>
      <c r="CB28" s="67">
        <v>1</v>
      </c>
      <c r="CC28" s="67">
        <v>1</v>
      </c>
      <c r="CD28" s="67">
        <v>1</v>
      </c>
      <c r="CE28" s="67">
        <v>1</v>
      </c>
      <c r="CF28" s="67">
        <v>1</v>
      </c>
      <c r="CG28" s="67">
        <v>1</v>
      </c>
      <c r="CH28" s="67">
        <v>1</v>
      </c>
      <c r="CI28" s="67">
        <v>2</v>
      </c>
      <c r="CJ28" s="67">
        <v>2</v>
      </c>
      <c r="CK28" s="67">
        <v>7</v>
      </c>
      <c r="CL28" s="67">
        <v>3</v>
      </c>
      <c r="CM28" s="67">
        <v>5</v>
      </c>
      <c r="CN28" s="67">
        <v>4</v>
      </c>
      <c r="CO28" s="67">
        <v>3</v>
      </c>
      <c r="CP28" s="67">
        <v>1</v>
      </c>
      <c r="CQ28" s="67">
        <v>3</v>
      </c>
      <c r="CR28" s="67">
        <v>1</v>
      </c>
      <c r="CS28" s="67">
        <v>3</v>
      </c>
      <c r="CT28" s="67">
        <v>3</v>
      </c>
      <c r="CU28" s="67">
        <v>2</v>
      </c>
      <c r="CV28" s="67">
        <v>2</v>
      </c>
      <c r="CW28" s="67">
        <v>3</v>
      </c>
      <c r="CX28" s="67">
        <v>5</v>
      </c>
      <c r="CY28" s="67">
        <v>2</v>
      </c>
      <c r="CZ28" s="67">
        <v>4</v>
      </c>
      <c r="DA28" s="67">
        <v>2</v>
      </c>
      <c r="DB28" s="67">
        <v>2</v>
      </c>
      <c r="DC28" s="67">
        <v>2</v>
      </c>
      <c r="DD28" s="67">
        <v>1</v>
      </c>
      <c r="DE28" s="67">
        <v>4</v>
      </c>
      <c r="DF28" s="67">
        <v>4</v>
      </c>
      <c r="DG28" s="67">
        <v>4</v>
      </c>
      <c r="DH28" s="67">
        <v>4</v>
      </c>
      <c r="DI28" s="67">
        <v>2</v>
      </c>
      <c r="DJ28" s="67">
        <v>3</v>
      </c>
      <c r="DK28" s="67">
        <v>1</v>
      </c>
      <c r="DL28" s="67">
        <v>3</v>
      </c>
      <c r="DM28" s="67">
        <v>1</v>
      </c>
      <c r="DN28" s="67">
        <v>1</v>
      </c>
      <c r="DO28" s="67">
        <v>1</v>
      </c>
      <c r="DP28" s="67">
        <v>3</v>
      </c>
      <c r="DQ28" s="67">
        <v>3</v>
      </c>
      <c r="DR28" s="67"/>
      <c r="DS28" s="67"/>
      <c r="DT28" s="67"/>
      <c r="DU28" s="67">
        <v>5</v>
      </c>
      <c r="DV28" s="67">
        <v>5</v>
      </c>
      <c r="DW28" s="67">
        <v>2</v>
      </c>
      <c r="DX28" s="67">
        <v>2</v>
      </c>
      <c r="DY28" s="67">
        <v>2</v>
      </c>
      <c r="DZ28" s="67">
        <v>2</v>
      </c>
      <c r="EA28" s="67">
        <v>4</v>
      </c>
      <c r="EB28" s="67">
        <v>2</v>
      </c>
      <c r="EC28" s="67">
        <v>2</v>
      </c>
      <c r="ED28" s="67">
        <v>3</v>
      </c>
      <c r="EE28" s="67">
        <v>2</v>
      </c>
      <c r="EF28" s="67"/>
      <c r="EG28" s="67"/>
      <c r="EH28" s="67">
        <v>25</v>
      </c>
    </row>
    <row r="29" spans="1:138" x14ac:dyDescent="0.2">
      <c r="A29" s="77" t="s">
        <v>1023</v>
      </c>
      <c r="B29" s="77" t="s">
        <v>919</v>
      </c>
      <c r="C29" s="77">
        <v>2</v>
      </c>
      <c r="D29" s="77"/>
      <c r="E29" s="77"/>
      <c r="F29" s="77"/>
      <c r="G29" s="77"/>
      <c r="H29" s="77">
        <v>2</v>
      </c>
      <c r="I29" s="77"/>
      <c r="J29" s="77"/>
      <c r="K29" s="77"/>
      <c r="L29" s="77">
        <v>2</v>
      </c>
      <c r="M29" s="77"/>
      <c r="N29" s="77"/>
      <c r="O29" s="77"/>
      <c r="P29" s="77"/>
      <c r="Q29" s="77"/>
      <c r="R29" s="77">
        <v>12</v>
      </c>
      <c r="S29" s="77">
        <v>6</v>
      </c>
      <c r="T29" s="77">
        <v>1</v>
      </c>
      <c r="U29" s="77">
        <v>55</v>
      </c>
      <c r="V29" s="12">
        <f t="shared" si="0"/>
        <v>6</v>
      </c>
      <c r="W29" s="12"/>
      <c r="X29" s="77" t="str">
        <f>Taulukko1[[#This Row],[Main Race]]</f>
        <v>Arhunerim</v>
      </c>
      <c r="Z29" s="12" t="s">
        <v>919</v>
      </c>
      <c r="AA29" s="12">
        <v>6543</v>
      </c>
      <c r="AB29" s="12">
        <v>6543</v>
      </c>
      <c r="AC29" s="12">
        <v>7654</v>
      </c>
      <c r="AD29" s="12">
        <v>6543</v>
      </c>
      <c r="AE29" s="12">
        <v>6543</v>
      </c>
      <c r="AF29" s="12">
        <v>6543</v>
      </c>
      <c r="AG29" s="12">
        <v>6543</v>
      </c>
      <c r="AH29" s="12">
        <v>6421</v>
      </c>
      <c r="AJ29" s="20" t="s">
        <v>598</v>
      </c>
      <c r="AK29" s="12">
        <v>2</v>
      </c>
      <c r="AL29" s="12">
        <v>1</v>
      </c>
      <c r="AM29" s="12">
        <v>1</v>
      </c>
      <c r="AN29" s="12"/>
      <c r="AO29" s="12"/>
      <c r="AP29" s="12"/>
      <c r="AQ29" s="12">
        <v>1</v>
      </c>
      <c r="AR29" s="12">
        <v>1</v>
      </c>
      <c r="AS29" s="12">
        <v>2</v>
      </c>
      <c r="AT29" s="12">
        <v>3</v>
      </c>
      <c r="AU29" s="12">
        <v>1</v>
      </c>
      <c r="AV29" s="12">
        <v>1</v>
      </c>
      <c r="AW29" s="12">
        <v>2</v>
      </c>
      <c r="AX29" s="12">
        <v>1</v>
      </c>
      <c r="AY29" s="12">
        <v>1</v>
      </c>
      <c r="AZ29" s="12"/>
      <c r="BA29" s="12"/>
      <c r="BB29" s="12"/>
      <c r="BC29" s="12"/>
      <c r="BD29" s="12"/>
      <c r="BE29" s="12"/>
      <c r="BF29" s="12"/>
      <c r="BG29" s="12"/>
      <c r="BH29" s="12"/>
      <c r="BI29" s="12"/>
      <c r="BJ29" s="12">
        <v>4</v>
      </c>
      <c r="BK29" s="12"/>
      <c r="BL29" s="12">
        <v>6</v>
      </c>
      <c r="BM29" s="12">
        <v>1</v>
      </c>
      <c r="BN29" s="12"/>
      <c r="BO29" s="12"/>
      <c r="BP29" s="12"/>
      <c r="BQ29" s="12"/>
      <c r="BR29" s="12"/>
      <c r="BS29" s="12"/>
      <c r="BT29" s="12">
        <v>1</v>
      </c>
      <c r="BU29" s="12"/>
      <c r="BV29" s="12"/>
      <c r="BW29" s="67"/>
      <c r="BX29" s="67"/>
      <c r="BY29" s="67"/>
      <c r="BZ29" s="67">
        <v>1</v>
      </c>
      <c r="CA29" s="67">
        <v>1</v>
      </c>
      <c r="CB29" s="67"/>
      <c r="CC29" s="67"/>
      <c r="CD29" s="67">
        <v>1</v>
      </c>
      <c r="CE29" s="67"/>
      <c r="CF29" s="67"/>
      <c r="CG29" s="67">
        <v>1</v>
      </c>
      <c r="CH29" s="67"/>
      <c r="CI29" s="67"/>
      <c r="CJ29" s="67"/>
      <c r="CK29" s="67">
        <v>1</v>
      </c>
      <c r="CL29" s="67">
        <v>3</v>
      </c>
      <c r="CM29" s="67">
        <v>1</v>
      </c>
      <c r="CN29" s="67">
        <v>2</v>
      </c>
      <c r="CO29" s="67">
        <v>1</v>
      </c>
      <c r="CP29" s="67"/>
      <c r="CQ29" s="67"/>
      <c r="CR29" s="67"/>
      <c r="CS29" s="67"/>
      <c r="CT29" s="67"/>
      <c r="CU29" s="67"/>
      <c r="CV29" s="67"/>
      <c r="CW29" s="67"/>
      <c r="CX29" s="67"/>
      <c r="CY29" s="67"/>
      <c r="CZ29" s="67"/>
      <c r="DA29" s="67"/>
      <c r="DB29" s="67"/>
      <c r="DC29" s="67"/>
      <c r="DD29" s="67"/>
      <c r="DE29" s="67"/>
      <c r="DF29" s="67"/>
      <c r="DG29" s="67"/>
      <c r="DH29" s="67"/>
      <c r="DI29" s="67"/>
      <c r="DJ29" s="67"/>
      <c r="DK29" s="67"/>
      <c r="DL29" s="67"/>
      <c r="DM29" s="67"/>
      <c r="DN29" s="67"/>
      <c r="DO29" s="67"/>
      <c r="DP29" s="67"/>
      <c r="DQ29" s="67"/>
      <c r="DR29" s="67"/>
      <c r="DS29" s="67"/>
      <c r="DT29" s="67"/>
      <c r="DU29" s="67"/>
      <c r="DV29" s="67"/>
      <c r="DW29" s="67"/>
      <c r="DX29" s="67"/>
      <c r="DY29" s="67"/>
      <c r="DZ29" s="67"/>
      <c r="EA29" s="67"/>
      <c r="EB29" s="67"/>
      <c r="EC29" s="67"/>
      <c r="ED29" s="67"/>
      <c r="EE29" s="67"/>
      <c r="EF29" s="67"/>
      <c r="EG29" s="67"/>
      <c r="EH29" s="67">
        <v>26</v>
      </c>
    </row>
    <row r="30" spans="1:138" x14ac:dyDescent="0.2">
      <c r="A30" s="77" t="s">
        <v>876</v>
      </c>
      <c r="B30" s="77" t="s">
        <v>876</v>
      </c>
      <c r="C30" s="77">
        <v>4</v>
      </c>
      <c r="D30" s="77"/>
      <c r="E30" s="77">
        <v>4</v>
      </c>
      <c r="F30" s="77"/>
      <c r="G30" s="77"/>
      <c r="H30" s="77">
        <v>4</v>
      </c>
      <c r="I30" s="77">
        <v>-2</v>
      </c>
      <c r="J30" s="77">
        <v>-2</v>
      </c>
      <c r="K30" s="77">
        <v>-4</v>
      </c>
      <c r="L30" s="77"/>
      <c r="M30" s="77">
        <v>40</v>
      </c>
      <c r="N30" s="77"/>
      <c r="O30" s="77">
        <v>40</v>
      </c>
      <c r="P30" s="77">
        <v>20</v>
      </c>
      <c r="Q30" s="77">
        <v>15</v>
      </c>
      <c r="R30" s="77">
        <v>21</v>
      </c>
      <c r="S30" s="77">
        <v>4</v>
      </c>
      <c r="T30" s="77">
        <v>0.5</v>
      </c>
      <c r="U30" s="77">
        <f>S30*10</f>
        <v>40</v>
      </c>
      <c r="V30" s="12">
        <f t="shared" si="0"/>
        <v>4</v>
      </c>
      <c r="W30" s="12"/>
      <c r="X30" s="77" t="str">
        <f>Taulukko1[[#This Row],[Main Race]]</f>
        <v>Dwarf</v>
      </c>
      <c r="Z30" s="12" t="s">
        <v>876</v>
      </c>
      <c r="AA30" s="12">
        <v>3211</v>
      </c>
      <c r="AB30" s="12">
        <v>6543</v>
      </c>
      <c r="AC30" s="12">
        <v>3211</v>
      </c>
      <c r="AD30" s="12">
        <v>4322</v>
      </c>
      <c r="AE30" s="12">
        <v>2111</v>
      </c>
      <c r="AF30" s="12">
        <v>4322</v>
      </c>
      <c r="AG30" s="12">
        <v>3221</v>
      </c>
      <c r="AH30" s="12">
        <v>7421</v>
      </c>
      <c r="AJ30" s="20" t="s">
        <v>1035</v>
      </c>
      <c r="AK30" s="12">
        <v>2</v>
      </c>
      <c r="AL30" s="12">
        <v>2</v>
      </c>
      <c r="AM30" s="12">
        <v>2</v>
      </c>
      <c r="AN30" s="12">
        <v>1</v>
      </c>
      <c r="AO30" s="12">
        <v>1</v>
      </c>
      <c r="AP30" s="12">
        <v>1</v>
      </c>
      <c r="AQ30" s="12">
        <v>1</v>
      </c>
      <c r="AR30" s="12">
        <v>1</v>
      </c>
      <c r="AS30" s="12">
        <v>1</v>
      </c>
      <c r="AT30" s="12">
        <v>2</v>
      </c>
      <c r="AU30" s="12"/>
      <c r="AV30" s="12">
        <v>1</v>
      </c>
      <c r="AW30" s="12">
        <v>4</v>
      </c>
      <c r="AX30" s="12">
        <v>2</v>
      </c>
      <c r="AY30" s="12">
        <v>4</v>
      </c>
      <c r="AZ30" s="12"/>
      <c r="BA30" s="12"/>
      <c r="BB30" s="12"/>
      <c r="BC30" s="12"/>
      <c r="BD30" s="12"/>
      <c r="BE30" s="12">
        <v>1</v>
      </c>
      <c r="BF30" s="12"/>
      <c r="BG30" s="12"/>
      <c r="BH30" s="12"/>
      <c r="BI30" s="12"/>
      <c r="BJ30" s="12">
        <v>3</v>
      </c>
      <c r="BK30" s="12">
        <v>1</v>
      </c>
      <c r="BL30" s="12">
        <v>2</v>
      </c>
      <c r="BM30" s="12"/>
      <c r="BN30" s="12"/>
      <c r="BO30" s="12"/>
      <c r="BP30" s="12"/>
      <c r="BQ30" s="12"/>
      <c r="BR30" s="12"/>
      <c r="BS30" s="12"/>
      <c r="BT30" s="12">
        <v>1</v>
      </c>
      <c r="BU30" s="12"/>
      <c r="BV30" s="12"/>
      <c r="BW30" s="67"/>
      <c r="BX30" s="67"/>
      <c r="BY30" s="67"/>
      <c r="BZ30" s="67">
        <v>1</v>
      </c>
      <c r="CA30" s="67">
        <v>1</v>
      </c>
      <c r="CB30" s="67">
        <v>1</v>
      </c>
      <c r="CC30" s="67">
        <v>1</v>
      </c>
      <c r="CD30" s="67">
        <v>1</v>
      </c>
      <c r="CE30" s="67">
        <v>1</v>
      </c>
      <c r="CF30" s="67">
        <v>1</v>
      </c>
      <c r="CG30" s="67">
        <v>1</v>
      </c>
      <c r="CH30" s="67">
        <v>1</v>
      </c>
      <c r="CI30" s="67">
        <v>1</v>
      </c>
      <c r="CJ30" s="67">
        <v>1</v>
      </c>
      <c r="CK30" s="67">
        <v>1</v>
      </c>
      <c r="CL30" s="67">
        <v>2</v>
      </c>
      <c r="CM30" s="67">
        <v>1</v>
      </c>
      <c r="CN30" s="67">
        <v>1</v>
      </c>
      <c r="CO30" s="67">
        <v>1</v>
      </c>
      <c r="CP30" s="67"/>
      <c r="CQ30" s="67"/>
      <c r="CR30" s="67"/>
      <c r="CS30" s="67"/>
      <c r="CT30" s="67"/>
      <c r="CU30" s="67"/>
      <c r="CV30" s="67"/>
      <c r="CW30" s="67"/>
      <c r="CX30" s="67"/>
      <c r="CY30" s="67"/>
      <c r="CZ30" s="67">
        <v>1</v>
      </c>
      <c r="DA30" s="67">
        <v>1</v>
      </c>
      <c r="DB30" s="67"/>
      <c r="DC30" s="67"/>
      <c r="DD30" s="67"/>
      <c r="DE30" s="67"/>
      <c r="DF30" s="67"/>
      <c r="DG30" s="67"/>
      <c r="DH30" s="67"/>
      <c r="DI30" s="67"/>
      <c r="DJ30" s="67"/>
      <c r="DK30" s="67"/>
      <c r="DL30" s="67"/>
      <c r="DM30" s="67"/>
      <c r="DN30" s="67"/>
      <c r="DO30" s="67"/>
      <c r="DP30" s="67"/>
      <c r="DQ30" s="67"/>
      <c r="DR30" s="67"/>
      <c r="DS30" s="67"/>
      <c r="DT30" s="67"/>
      <c r="DU30" s="67"/>
      <c r="DV30" s="67"/>
      <c r="DW30" s="67"/>
      <c r="DX30" s="67"/>
      <c r="DY30" s="67"/>
      <c r="DZ30" s="67"/>
      <c r="EA30" s="67"/>
      <c r="EB30" s="67"/>
      <c r="EC30" s="67"/>
      <c r="ED30" s="67"/>
      <c r="EE30" s="67"/>
      <c r="EF30" s="67"/>
      <c r="EG30" s="67"/>
      <c r="EH30" s="67">
        <v>27</v>
      </c>
    </row>
    <row r="31" spans="1:138" x14ac:dyDescent="0.2">
      <c r="A31" s="77" t="s">
        <v>888</v>
      </c>
      <c r="B31" s="77" t="s">
        <v>950</v>
      </c>
      <c r="C31" s="77"/>
      <c r="D31" s="77"/>
      <c r="E31" s="77">
        <v>2</v>
      </c>
      <c r="F31" s="77"/>
      <c r="G31" s="77"/>
      <c r="H31" s="77">
        <v>2</v>
      </c>
      <c r="I31" s="77"/>
      <c r="J31" s="77">
        <v>-2</v>
      </c>
      <c r="K31" s="77">
        <v>2</v>
      </c>
      <c r="L31" s="77"/>
      <c r="M31" s="77"/>
      <c r="N31" s="77"/>
      <c r="O31" s="77"/>
      <c r="P31" s="77"/>
      <c r="Q31" s="77"/>
      <c r="R31" s="77">
        <v>12</v>
      </c>
      <c r="S31" s="77">
        <v>6</v>
      </c>
      <c r="T31" s="77">
        <v>1</v>
      </c>
      <c r="U31" s="77">
        <v>50</v>
      </c>
      <c r="V31" s="12">
        <f t="shared" si="0"/>
        <v>4</v>
      </c>
      <c r="W31" s="12"/>
      <c r="X31" s="77" t="str">
        <f>Taulukko1[[#This Row],[Main Race]]</f>
        <v>Talatherim</v>
      </c>
      <c r="Z31" s="12" t="s">
        <v>950</v>
      </c>
      <c r="AA31" s="12">
        <v>6543</v>
      </c>
      <c r="AB31" s="12">
        <v>6543</v>
      </c>
      <c r="AC31" s="12">
        <v>7654</v>
      </c>
      <c r="AD31" s="12">
        <v>6543</v>
      </c>
      <c r="AE31" s="12">
        <v>6543</v>
      </c>
      <c r="AF31" s="12">
        <v>6543</v>
      </c>
      <c r="AG31" s="12">
        <v>6543</v>
      </c>
      <c r="AH31" s="12">
        <v>7521</v>
      </c>
      <c r="AJ31" s="20" t="s">
        <v>5470</v>
      </c>
      <c r="AK31" s="12"/>
      <c r="AL31" s="12">
        <v>1</v>
      </c>
      <c r="AM31" s="12">
        <v>1</v>
      </c>
      <c r="AN31" s="12">
        <v>1</v>
      </c>
      <c r="AO31" s="12"/>
      <c r="AP31" s="12"/>
      <c r="AQ31" s="12"/>
      <c r="AR31" s="12"/>
      <c r="AS31" s="12"/>
      <c r="AT31" s="12"/>
      <c r="AU31" s="12"/>
      <c r="AV31" s="12"/>
      <c r="AW31" s="12"/>
      <c r="AX31" s="12"/>
      <c r="AY31" s="12"/>
      <c r="AZ31" s="12"/>
      <c r="BA31" s="12"/>
      <c r="BB31" s="12"/>
      <c r="BC31" s="12"/>
      <c r="BD31" s="12"/>
      <c r="BE31" s="12"/>
      <c r="BF31" s="12"/>
      <c r="BG31" s="12"/>
      <c r="BH31" s="12"/>
      <c r="BI31" s="12"/>
      <c r="BJ31" s="12"/>
      <c r="BK31" s="12"/>
      <c r="BL31" s="12"/>
      <c r="BM31" s="12"/>
      <c r="BN31" s="12"/>
      <c r="BO31" s="12"/>
      <c r="BP31" s="12"/>
      <c r="BQ31" s="12"/>
      <c r="BR31" s="12"/>
      <c r="BS31" s="12"/>
      <c r="BT31" s="12"/>
      <c r="BU31" s="12"/>
      <c r="BV31" s="12"/>
      <c r="BW31" s="67"/>
      <c r="BX31" s="67"/>
      <c r="BY31" s="67"/>
      <c r="BZ31" s="67"/>
      <c r="CA31" s="67"/>
      <c r="CB31" s="67"/>
      <c r="CC31" s="67"/>
      <c r="CD31" s="67"/>
      <c r="CE31" s="67"/>
      <c r="CF31" s="67"/>
      <c r="CG31" s="67"/>
      <c r="CH31" s="67"/>
      <c r="CI31" s="67"/>
      <c r="CJ31" s="67"/>
      <c r="CK31" s="67"/>
      <c r="CL31" s="67"/>
      <c r="CM31" s="67"/>
      <c r="CN31" s="67"/>
      <c r="CO31" s="67"/>
      <c r="CP31" s="67"/>
      <c r="CQ31" s="67"/>
      <c r="CR31" s="67"/>
      <c r="CS31" s="67"/>
      <c r="CT31" s="67"/>
      <c r="CU31" s="67"/>
      <c r="CV31" s="67"/>
      <c r="CW31" s="67"/>
      <c r="CX31" s="67"/>
      <c r="CY31" s="67"/>
      <c r="CZ31" s="67"/>
      <c r="DA31" s="67"/>
      <c r="DB31" s="67"/>
      <c r="DC31" s="67"/>
      <c r="DD31" s="67"/>
      <c r="DE31" s="67"/>
      <c r="DF31" s="67"/>
      <c r="DG31" s="67"/>
      <c r="DH31" s="67"/>
      <c r="DI31" s="67"/>
      <c r="DJ31" s="67"/>
      <c r="DK31" s="67"/>
      <c r="DL31" s="67"/>
      <c r="DM31" s="67"/>
      <c r="DN31" s="67"/>
      <c r="DO31" s="67"/>
      <c r="DP31" s="67"/>
      <c r="DQ31" s="67"/>
      <c r="DR31" s="67"/>
      <c r="DS31" s="67"/>
      <c r="DT31" s="67"/>
      <c r="DU31" s="67"/>
      <c r="DV31" s="67">
        <v>2</v>
      </c>
      <c r="DW31" s="67">
        <v>1</v>
      </c>
      <c r="DX31" s="67"/>
      <c r="DY31" s="67">
        <v>1</v>
      </c>
      <c r="DZ31" s="67"/>
      <c r="EA31" s="67">
        <v>1</v>
      </c>
      <c r="EB31" s="67"/>
      <c r="EC31" s="67"/>
      <c r="ED31" s="67"/>
      <c r="EE31" s="67"/>
      <c r="EF31" s="67"/>
      <c r="EG31" s="67"/>
      <c r="EH31" s="67">
        <v>28</v>
      </c>
    </row>
    <row r="32" spans="1:138" x14ac:dyDescent="0.2">
      <c r="A32" s="77" t="s">
        <v>881</v>
      </c>
      <c r="B32" s="77" t="s">
        <v>1025</v>
      </c>
      <c r="C32" s="77">
        <v>2</v>
      </c>
      <c r="D32" s="77"/>
      <c r="E32" s="77">
        <v>2</v>
      </c>
      <c r="F32" s="77"/>
      <c r="G32" s="77"/>
      <c r="H32" s="77">
        <v>2</v>
      </c>
      <c r="I32" s="77"/>
      <c r="J32" s="77">
        <v>2</v>
      </c>
      <c r="K32" s="77"/>
      <c r="L32" s="77"/>
      <c r="M32" s="77"/>
      <c r="N32" s="77"/>
      <c r="O32" s="77"/>
      <c r="P32" s="77"/>
      <c r="Q32" s="77"/>
      <c r="R32" s="77">
        <v>11</v>
      </c>
      <c r="S32" s="77">
        <v>5</v>
      </c>
      <c r="T32" s="77">
        <v>0.9</v>
      </c>
      <c r="U32" s="77">
        <v>45</v>
      </c>
      <c r="V32" s="12">
        <f t="shared" si="0"/>
        <v>8</v>
      </c>
      <c r="W32" s="12"/>
      <c r="X32" s="77" t="str">
        <f>Taulukko1[[#This Row],[Main Race]]</f>
        <v>Eriedain</v>
      </c>
      <c r="Z32" s="12" t="s">
        <v>930</v>
      </c>
      <c r="AA32" s="12">
        <v>6543</v>
      </c>
      <c r="AB32" s="12">
        <v>6543</v>
      </c>
      <c r="AC32" s="12">
        <v>7654</v>
      </c>
      <c r="AD32" s="12">
        <v>6543</v>
      </c>
      <c r="AE32" s="12">
        <v>6543</v>
      </c>
      <c r="AF32" s="12">
        <v>6543</v>
      </c>
      <c r="AG32" s="12">
        <v>6543</v>
      </c>
      <c r="AH32" s="12">
        <v>7521</v>
      </c>
      <c r="AJ32" s="12" t="s">
        <v>642</v>
      </c>
      <c r="AK32" s="12"/>
      <c r="AL32" s="12">
        <v>1</v>
      </c>
      <c r="AM32" s="12">
        <v>1</v>
      </c>
      <c r="AN32" s="12">
        <v>1</v>
      </c>
      <c r="AO32" s="12"/>
      <c r="AP32" s="12"/>
      <c r="AQ32" s="12"/>
      <c r="AR32" s="12"/>
      <c r="AS32" s="12"/>
      <c r="AT32" s="12"/>
      <c r="AU32" s="12"/>
      <c r="AV32" s="12"/>
      <c r="AW32" s="12"/>
      <c r="AX32" s="12"/>
      <c r="AY32" s="12"/>
      <c r="AZ32" s="12"/>
      <c r="BA32" s="12"/>
      <c r="BB32" s="12"/>
      <c r="BC32" s="12"/>
      <c r="BD32" s="12"/>
      <c r="BE32" s="12"/>
      <c r="BF32" s="12"/>
      <c r="BG32" s="12"/>
      <c r="BH32" s="12"/>
      <c r="BI32" s="12"/>
      <c r="BJ32" s="12"/>
      <c r="BK32" s="12"/>
      <c r="BL32" s="12"/>
      <c r="BM32" s="12"/>
      <c r="BN32" s="12"/>
      <c r="BO32" s="12"/>
      <c r="BP32" s="12"/>
      <c r="BQ32" s="12"/>
      <c r="BR32" s="12"/>
      <c r="BS32" s="12"/>
      <c r="BT32" s="12"/>
      <c r="BU32" s="12"/>
      <c r="BV32" s="12"/>
      <c r="BW32" s="67"/>
      <c r="BX32" s="67"/>
      <c r="BY32" s="67"/>
      <c r="BZ32" s="67"/>
      <c r="CA32" s="67"/>
      <c r="CB32" s="67"/>
      <c r="CC32" s="67"/>
      <c r="CD32" s="67"/>
      <c r="CE32" s="67"/>
      <c r="CF32" s="67"/>
      <c r="CG32" s="67"/>
      <c r="CH32" s="67"/>
      <c r="CI32" s="67"/>
      <c r="CJ32" s="67"/>
      <c r="CK32" s="67"/>
      <c r="CL32" s="67"/>
      <c r="CM32" s="67"/>
      <c r="CN32" s="67"/>
      <c r="CO32" s="67"/>
      <c r="CP32" s="67"/>
      <c r="CQ32" s="67"/>
      <c r="CR32" s="67"/>
      <c r="CS32" s="67"/>
      <c r="CT32" s="67"/>
      <c r="CU32" s="67"/>
      <c r="CV32" s="67"/>
      <c r="CW32" s="67"/>
      <c r="CX32" s="67"/>
      <c r="CY32" s="67"/>
      <c r="CZ32" s="67"/>
      <c r="DA32" s="67"/>
      <c r="DB32" s="67"/>
      <c r="DC32" s="67"/>
      <c r="DD32" s="67"/>
      <c r="DE32" s="67"/>
      <c r="DF32" s="67"/>
      <c r="DG32" s="67"/>
      <c r="DH32" s="67"/>
      <c r="DI32" s="67"/>
      <c r="DJ32" s="67"/>
      <c r="DK32" s="67"/>
      <c r="DL32" s="67"/>
      <c r="DM32" s="67"/>
      <c r="DN32" s="67"/>
      <c r="DO32" s="67"/>
      <c r="DP32" s="67"/>
      <c r="DQ32" s="67"/>
      <c r="DR32" s="67"/>
      <c r="DS32" s="67"/>
      <c r="DT32" s="67"/>
      <c r="DU32" s="67"/>
      <c r="DV32" s="67">
        <v>2</v>
      </c>
      <c r="DW32" s="67">
        <v>1</v>
      </c>
      <c r="DX32" s="67"/>
      <c r="DY32" s="67">
        <v>1</v>
      </c>
      <c r="DZ32" s="67"/>
      <c r="EA32" s="67">
        <v>1</v>
      </c>
      <c r="EB32" s="67"/>
      <c r="EC32" s="67"/>
      <c r="ED32" s="67"/>
      <c r="EE32" s="67"/>
      <c r="EF32" s="67"/>
      <c r="EG32" s="67"/>
      <c r="EH32" s="67">
        <v>29</v>
      </c>
    </row>
    <row r="33" spans="1:144" x14ac:dyDescent="0.2">
      <c r="A33" s="77" t="s">
        <v>881</v>
      </c>
      <c r="B33" s="77" t="s">
        <v>938</v>
      </c>
      <c r="C33" s="77">
        <v>2</v>
      </c>
      <c r="D33" s="77"/>
      <c r="E33" s="77">
        <v>2</v>
      </c>
      <c r="F33" s="77"/>
      <c r="G33" s="77"/>
      <c r="H33" s="77">
        <v>2</v>
      </c>
      <c r="I33" s="77"/>
      <c r="J33" s="77">
        <v>2</v>
      </c>
      <c r="K33" s="77"/>
      <c r="L33" s="77"/>
      <c r="M33" s="77"/>
      <c r="N33" s="77"/>
      <c r="O33" s="77"/>
      <c r="P33" s="77"/>
      <c r="Q33" s="77"/>
      <c r="R33" s="77">
        <v>11</v>
      </c>
      <c r="S33" s="77">
        <v>5</v>
      </c>
      <c r="T33" s="77">
        <v>0.9</v>
      </c>
      <c r="U33" s="77">
        <f>S33*10</f>
        <v>50</v>
      </c>
      <c r="V33" s="12">
        <f t="shared" si="0"/>
        <v>8</v>
      </c>
      <c r="W33" s="12"/>
      <c r="X33" s="77" t="str">
        <f>Taulukko1[[#This Row],[Main Race]]</f>
        <v>Eriedain</v>
      </c>
      <c r="Z33" s="12" t="s">
        <v>938</v>
      </c>
      <c r="AA33" s="12">
        <v>6543</v>
      </c>
      <c r="AB33" s="12">
        <v>6543</v>
      </c>
      <c r="AC33" s="12">
        <v>7654</v>
      </c>
      <c r="AD33" s="12">
        <v>6543</v>
      </c>
      <c r="AE33" s="12">
        <v>6543</v>
      </c>
      <c r="AF33" s="12">
        <v>6543</v>
      </c>
      <c r="AG33" s="12">
        <v>6543</v>
      </c>
      <c r="AH33" s="12">
        <v>7521</v>
      </c>
      <c r="AJ33" s="20" t="s">
        <v>1040</v>
      </c>
      <c r="AK33" s="12"/>
      <c r="AL33" s="12">
        <v>2</v>
      </c>
      <c r="AM33" s="12">
        <v>2</v>
      </c>
      <c r="AN33" s="12">
        <v>1</v>
      </c>
      <c r="AO33" s="12"/>
      <c r="AP33" s="12"/>
      <c r="AQ33" s="12">
        <v>2</v>
      </c>
      <c r="AR33" s="12">
        <v>2</v>
      </c>
      <c r="AS33" s="12">
        <v>3</v>
      </c>
      <c r="AT33" s="12">
        <v>2</v>
      </c>
      <c r="AU33" s="12">
        <v>4</v>
      </c>
      <c r="AV33" s="12">
        <v>4</v>
      </c>
      <c r="AW33" s="12">
        <v>2</v>
      </c>
      <c r="AX33" s="12">
        <v>2</v>
      </c>
      <c r="AY33" s="12">
        <v>2</v>
      </c>
      <c r="AZ33" s="12">
        <v>5</v>
      </c>
      <c r="BA33" s="12">
        <v>5</v>
      </c>
      <c r="BB33" s="12">
        <v>5</v>
      </c>
      <c r="BC33" s="12"/>
      <c r="BD33" s="12">
        <v>1</v>
      </c>
      <c r="BE33" s="12">
        <v>1</v>
      </c>
      <c r="BF33" s="12">
        <v>1</v>
      </c>
      <c r="BG33" s="12">
        <v>1</v>
      </c>
      <c r="BH33" s="12">
        <v>1</v>
      </c>
      <c r="BI33" s="12">
        <v>1</v>
      </c>
      <c r="BJ33" s="12">
        <v>1</v>
      </c>
      <c r="BK33" s="12"/>
      <c r="BL33" s="12"/>
      <c r="BM33" s="12">
        <v>1</v>
      </c>
      <c r="BN33" s="12">
        <v>1</v>
      </c>
      <c r="BO33" s="12">
        <v>1</v>
      </c>
      <c r="BP33" s="12">
        <v>1</v>
      </c>
      <c r="BQ33" s="12">
        <v>1</v>
      </c>
      <c r="BR33" s="12">
        <v>1</v>
      </c>
      <c r="BS33" s="12">
        <v>1</v>
      </c>
      <c r="BT33" s="12"/>
      <c r="BU33" s="12"/>
      <c r="BV33" s="12"/>
      <c r="BW33" s="67">
        <v>1</v>
      </c>
      <c r="BX33" s="67">
        <v>2</v>
      </c>
      <c r="BY33" s="67">
        <v>1</v>
      </c>
      <c r="BZ33" s="67"/>
      <c r="CA33" s="67"/>
      <c r="CB33" s="67"/>
      <c r="CC33" s="67"/>
      <c r="CD33" s="67"/>
      <c r="CE33" s="67"/>
      <c r="CF33" s="67"/>
      <c r="CG33" s="67"/>
      <c r="CH33" s="67">
        <v>1</v>
      </c>
      <c r="CI33" s="67">
        <v>1</v>
      </c>
      <c r="CJ33" s="67"/>
      <c r="CK33" s="67">
        <v>4</v>
      </c>
      <c r="CL33" s="67">
        <v>2</v>
      </c>
      <c r="CM33" s="67">
        <v>4</v>
      </c>
      <c r="CN33" s="67">
        <v>3</v>
      </c>
      <c r="CO33" s="67">
        <v>2</v>
      </c>
      <c r="CP33" s="67"/>
      <c r="CQ33" s="67"/>
      <c r="CR33" s="67"/>
      <c r="CS33" s="67">
        <v>2</v>
      </c>
      <c r="CT33" s="67"/>
      <c r="CU33" s="67"/>
      <c r="CV33" s="67"/>
      <c r="CW33" s="67">
        <v>1</v>
      </c>
      <c r="CX33" s="67">
        <v>4</v>
      </c>
      <c r="CY33" s="67">
        <v>1</v>
      </c>
      <c r="CZ33" s="67">
        <v>1</v>
      </c>
      <c r="DA33" s="67"/>
      <c r="DB33" s="67">
        <v>5</v>
      </c>
      <c r="DC33" s="67">
        <v>5</v>
      </c>
      <c r="DD33" s="67">
        <v>5</v>
      </c>
      <c r="DE33" s="67">
        <v>4</v>
      </c>
      <c r="DF33" s="67">
        <v>4</v>
      </c>
      <c r="DG33" s="67">
        <v>4</v>
      </c>
      <c r="DH33" s="67">
        <v>3</v>
      </c>
      <c r="DI33" s="67">
        <v>1</v>
      </c>
      <c r="DJ33" s="67"/>
      <c r="DK33" s="67"/>
      <c r="DL33" s="67"/>
      <c r="DM33" s="67"/>
      <c r="DN33" s="67"/>
      <c r="DO33" s="67"/>
      <c r="DP33" s="67"/>
      <c r="DQ33" s="67"/>
      <c r="DR33" s="67"/>
      <c r="DS33" s="67"/>
      <c r="DT33" s="67"/>
      <c r="DU33" s="67">
        <v>1</v>
      </c>
      <c r="DV33" s="67">
        <v>3</v>
      </c>
      <c r="DW33" s="67"/>
      <c r="DX33" s="67"/>
      <c r="DY33" s="67"/>
      <c r="DZ33" s="67"/>
      <c r="EA33" s="67">
        <v>1</v>
      </c>
      <c r="EB33" s="67"/>
      <c r="EC33" s="67"/>
      <c r="ED33" s="67">
        <v>1</v>
      </c>
      <c r="EE33" s="67"/>
      <c r="EF33" s="67"/>
      <c r="EG33" s="67"/>
      <c r="EH33" s="67">
        <v>30</v>
      </c>
    </row>
    <row r="34" spans="1:144" x14ac:dyDescent="0.2">
      <c r="A34" s="77" t="s">
        <v>1029</v>
      </c>
      <c r="B34" s="77" t="s">
        <v>943</v>
      </c>
      <c r="C34" s="77">
        <v>6</v>
      </c>
      <c r="D34" s="77">
        <v>6</v>
      </c>
      <c r="E34" s="77">
        <v>-4</v>
      </c>
      <c r="F34" s="77"/>
      <c r="G34" s="77"/>
      <c r="H34" s="77">
        <v>-8</v>
      </c>
      <c r="I34" s="77">
        <v>4</v>
      </c>
      <c r="J34" s="77">
        <v>-6</v>
      </c>
      <c r="K34" s="77"/>
      <c r="L34" s="77"/>
      <c r="M34" s="77">
        <v>50</v>
      </c>
      <c r="N34" s="77">
        <v>20</v>
      </c>
      <c r="O34" s="77">
        <v>40</v>
      </c>
      <c r="P34" s="77">
        <v>30</v>
      </c>
      <c r="Q34" s="77">
        <v>15</v>
      </c>
      <c r="R34" s="77">
        <v>18</v>
      </c>
      <c r="S34" s="77">
        <v>5</v>
      </c>
      <c r="T34" s="77">
        <v>0.5</v>
      </c>
      <c r="U34" s="77">
        <v>45</v>
      </c>
      <c r="V34" s="12">
        <f t="shared" si="0"/>
        <v>-2</v>
      </c>
      <c r="W34" s="12">
        <f>Stats!$B$4</f>
        <v>95.697167755991316</v>
      </c>
      <c r="X34" s="77" t="str">
        <f>Taulukko1[[#This Row],[Main Race]]</f>
        <v>Hobbit</v>
      </c>
      <c r="Z34" s="12" t="s">
        <v>943</v>
      </c>
      <c r="AA34" s="12">
        <v>2111</v>
      </c>
      <c r="AB34" s="12">
        <v>6543</v>
      </c>
      <c r="AC34" s="12">
        <v>2111</v>
      </c>
      <c r="AD34" s="12">
        <v>4322</v>
      </c>
      <c r="AE34" s="12">
        <v>2111</v>
      </c>
      <c r="AF34" s="12">
        <v>4322</v>
      </c>
      <c r="AG34" s="12">
        <v>3221</v>
      </c>
      <c r="AH34" s="12">
        <v>6321</v>
      </c>
      <c r="AJ34" s="12" t="s">
        <v>658</v>
      </c>
      <c r="AK34" s="12"/>
      <c r="AL34" s="12">
        <v>2</v>
      </c>
      <c r="AM34" s="12">
        <v>3</v>
      </c>
      <c r="AN34" s="12">
        <v>1</v>
      </c>
      <c r="AO34" s="12"/>
      <c r="AP34" s="12"/>
      <c r="AQ34" s="12">
        <v>2</v>
      </c>
      <c r="AR34" s="12">
        <v>2</v>
      </c>
      <c r="AS34" s="12">
        <v>3</v>
      </c>
      <c r="AT34" s="12">
        <v>2</v>
      </c>
      <c r="AU34" s="12">
        <v>4</v>
      </c>
      <c r="AV34" s="12">
        <v>4</v>
      </c>
      <c r="AW34" s="12">
        <v>2</v>
      </c>
      <c r="AX34" s="12">
        <v>2</v>
      </c>
      <c r="AY34" s="12">
        <v>2</v>
      </c>
      <c r="AZ34" s="12">
        <v>5</v>
      </c>
      <c r="BA34" s="12">
        <v>5</v>
      </c>
      <c r="BB34" s="12">
        <v>5</v>
      </c>
      <c r="BC34" s="12"/>
      <c r="BD34" s="12">
        <v>1</v>
      </c>
      <c r="BE34" s="12">
        <v>1</v>
      </c>
      <c r="BF34" s="12">
        <v>1</v>
      </c>
      <c r="BG34" s="12">
        <v>1</v>
      </c>
      <c r="BH34" s="12">
        <v>1</v>
      </c>
      <c r="BI34" s="12">
        <v>1</v>
      </c>
      <c r="BJ34" s="12">
        <v>1</v>
      </c>
      <c r="BK34" s="12"/>
      <c r="BL34" s="12"/>
      <c r="BM34" s="12">
        <v>1</v>
      </c>
      <c r="BN34" s="12">
        <v>1</v>
      </c>
      <c r="BO34" s="12">
        <v>1</v>
      </c>
      <c r="BP34" s="12"/>
      <c r="BQ34" s="12">
        <v>1</v>
      </c>
      <c r="BR34" s="12">
        <v>1</v>
      </c>
      <c r="BS34" s="12">
        <v>1</v>
      </c>
      <c r="BT34" s="12"/>
      <c r="BU34" s="12"/>
      <c r="BV34" s="12"/>
      <c r="BW34" s="67">
        <v>1</v>
      </c>
      <c r="BX34" s="67">
        <v>2</v>
      </c>
      <c r="BY34" s="67">
        <v>1</v>
      </c>
      <c r="BZ34" s="67"/>
      <c r="CA34" s="67"/>
      <c r="CB34" s="67"/>
      <c r="CC34" s="67"/>
      <c r="CD34" s="67"/>
      <c r="CE34" s="67"/>
      <c r="CF34" s="67"/>
      <c r="CG34" s="67"/>
      <c r="CH34" s="67">
        <v>1</v>
      </c>
      <c r="CI34" s="67">
        <v>1</v>
      </c>
      <c r="CJ34" s="67"/>
      <c r="CK34" s="67">
        <v>4</v>
      </c>
      <c r="CL34" s="67">
        <v>2</v>
      </c>
      <c r="CM34" s="67">
        <v>4</v>
      </c>
      <c r="CN34" s="67">
        <v>3</v>
      </c>
      <c r="CO34" s="67">
        <v>2</v>
      </c>
      <c r="CP34" s="67"/>
      <c r="CQ34" s="67"/>
      <c r="CR34" s="67"/>
      <c r="CS34" s="67">
        <v>2</v>
      </c>
      <c r="CT34" s="67"/>
      <c r="CU34" s="67"/>
      <c r="CV34" s="67"/>
      <c r="CW34" s="67">
        <v>1</v>
      </c>
      <c r="CX34" s="67">
        <v>4</v>
      </c>
      <c r="CY34" s="67">
        <v>1</v>
      </c>
      <c r="CZ34" s="67">
        <v>1</v>
      </c>
      <c r="DA34" s="67"/>
      <c r="DB34" s="67">
        <v>5</v>
      </c>
      <c r="DC34" s="67">
        <v>5</v>
      </c>
      <c r="DD34" s="67">
        <v>5</v>
      </c>
      <c r="DE34" s="67">
        <v>4</v>
      </c>
      <c r="DF34" s="67">
        <v>4</v>
      </c>
      <c r="DG34" s="67">
        <v>4</v>
      </c>
      <c r="DH34" s="67">
        <v>3</v>
      </c>
      <c r="DI34" s="67">
        <v>1</v>
      </c>
      <c r="DJ34" s="67"/>
      <c r="DK34" s="67"/>
      <c r="DL34" s="67"/>
      <c r="DM34" s="67"/>
      <c r="DN34" s="67"/>
      <c r="DO34" s="67"/>
      <c r="DP34" s="67"/>
      <c r="DQ34" s="67"/>
      <c r="DR34" s="67"/>
      <c r="DS34" s="67"/>
      <c r="DT34" s="67"/>
      <c r="DU34" s="67">
        <v>1</v>
      </c>
      <c r="DV34" s="67">
        <v>3</v>
      </c>
      <c r="DW34" s="67"/>
      <c r="DX34" s="67"/>
      <c r="DY34" s="67"/>
      <c r="DZ34" s="67"/>
      <c r="EA34" s="67">
        <v>1</v>
      </c>
      <c r="EB34" s="67"/>
      <c r="EC34" s="67"/>
      <c r="ED34" s="67">
        <v>1</v>
      </c>
      <c r="EE34" s="67"/>
      <c r="EF34" s="67"/>
      <c r="EG34" s="67"/>
      <c r="EH34" s="67">
        <v>31</v>
      </c>
    </row>
    <row r="35" spans="1:144" x14ac:dyDescent="0.2">
      <c r="A35" s="77" t="s">
        <v>4055</v>
      </c>
      <c r="B35" s="77" t="s">
        <v>4065</v>
      </c>
      <c r="C35" s="77">
        <v>2</v>
      </c>
      <c r="D35" s="77"/>
      <c r="E35" s="77">
        <v>2</v>
      </c>
      <c r="F35" s="77"/>
      <c r="G35" s="77"/>
      <c r="H35" s="77">
        <v>2</v>
      </c>
      <c r="I35" s="77"/>
      <c r="J35" s="77">
        <v>2</v>
      </c>
      <c r="K35" s="77"/>
      <c r="L35" s="77"/>
      <c r="M35" s="77"/>
      <c r="N35" s="77"/>
      <c r="O35" s="77"/>
      <c r="P35" s="77"/>
      <c r="Q35" s="77">
        <v>5</v>
      </c>
      <c r="R35" s="77">
        <v>1</v>
      </c>
      <c r="S35" s="77">
        <v>4</v>
      </c>
      <c r="T35" s="77">
        <v>1</v>
      </c>
      <c r="U35" s="77">
        <v>50</v>
      </c>
      <c r="V35" s="12">
        <f t="shared" ref="V35:V66" si="1">SUM(C35:L35)</f>
        <v>8</v>
      </c>
      <c r="W35" s="12"/>
      <c r="X35" s="77" t="str">
        <f>Taulukko1[[#This Row],[Main Race]]</f>
        <v>Human</v>
      </c>
      <c r="Z35" s="12" t="s">
        <v>4065</v>
      </c>
      <c r="AA35" s="12">
        <v>5432</v>
      </c>
      <c r="AB35" s="12">
        <v>6543</v>
      </c>
      <c r="AC35" s="12">
        <v>7654</v>
      </c>
      <c r="AD35" s="12">
        <v>6543</v>
      </c>
      <c r="AE35" s="12">
        <v>6543</v>
      </c>
      <c r="AF35" s="12">
        <v>6543</v>
      </c>
      <c r="AG35" s="12">
        <v>6543</v>
      </c>
      <c r="AH35" s="12">
        <v>7421</v>
      </c>
      <c r="AJ35" s="12" t="s">
        <v>656</v>
      </c>
      <c r="AK35" s="12"/>
      <c r="AL35" s="12">
        <v>2</v>
      </c>
      <c r="AM35" s="12">
        <v>3</v>
      </c>
      <c r="AN35" s="12">
        <v>1</v>
      </c>
      <c r="AO35" s="12"/>
      <c r="AP35" s="12"/>
      <c r="AQ35" s="12">
        <v>2</v>
      </c>
      <c r="AR35" s="12">
        <v>2</v>
      </c>
      <c r="AS35" s="12">
        <v>3</v>
      </c>
      <c r="AT35" s="12">
        <v>2</v>
      </c>
      <c r="AU35" s="12">
        <v>4</v>
      </c>
      <c r="AV35" s="12">
        <v>4</v>
      </c>
      <c r="AW35" s="12">
        <v>2</v>
      </c>
      <c r="AX35" s="12">
        <v>2</v>
      </c>
      <c r="AY35" s="12">
        <v>2</v>
      </c>
      <c r="AZ35" s="12">
        <v>5</v>
      </c>
      <c r="BA35" s="12">
        <v>5</v>
      </c>
      <c r="BB35" s="12">
        <v>5</v>
      </c>
      <c r="BC35" s="12"/>
      <c r="BD35" s="12">
        <v>1</v>
      </c>
      <c r="BE35" s="12">
        <v>1</v>
      </c>
      <c r="BF35" s="12">
        <v>1</v>
      </c>
      <c r="BG35" s="12">
        <v>1</v>
      </c>
      <c r="BH35" s="12">
        <v>1</v>
      </c>
      <c r="BI35" s="12">
        <v>1</v>
      </c>
      <c r="BJ35" s="12">
        <v>1</v>
      </c>
      <c r="BK35" s="12"/>
      <c r="BL35" s="12"/>
      <c r="BM35" s="12">
        <v>1</v>
      </c>
      <c r="BN35" s="12">
        <v>1</v>
      </c>
      <c r="BO35" s="12">
        <v>1</v>
      </c>
      <c r="BP35" s="12"/>
      <c r="BQ35" s="12">
        <v>1</v>
      </c>
      <c r="BR35" s="12">
        <v>1</v>
      </c>
      <c r="BS35" s="12">
        <v>1</v>
      </c>
      <c r="BT35" s="12"/>
      <c r="BU35" s="12"/>
      <c r="BV35" s="12"/>
      <c r="BW35" s="67">
        <v>1</v>
      </c>
      <c r="BX35" s="67">
        <v>2</v>
      </c>
      <c r="BY35" s="67">
        <v>1</v>
      </c>
      <c r="BZ35" s="67"/>
      <c r="CA35" s="67"/>
      <c r="CB35" s="67"/>
      <c r="CC35" s="67"/>
      <c r="CD35" s="67"/>
      <c r="CE35" s="67"/>
      <c r="CF35" s="67"/>
      <c r="CG35" s="67"/>
      <c r="CH35" s="67">
        <v>1</v>
      </c>
      <c r="CI35" s="67">
        <v>1</v>
      </c>
      <c r="CJ35" s="67"/>
      <c r="CK35" s="67">
        <v>4</v>
      </c>
      <c r="CL35" s="67">
        <v>2</v>
      </c>
      <c r="CM35" s="67">
        <v>4</v>
      </c>
      <c r="CN35" s="67">
        <v>3</v>
      </c>
      <c r="CO35" s="67">
        <v>2</v>
      </c>
      <c r="CP35" s="67"/>
      <c r="CQ35" s="67"/>
      <c r="CR35" s="67"/>
      <c r="CS35" s="67">
        <v>2</v>
      </c>
      <c r="CT35" s="67"/>
      <c r="CU35" s="67"/>
      <c r="CV35" s="67"/>
      <c r="CW35" s="67">
        <v>1</v>
      </c>
      <c r="CX35" s="67">
        <v>4</v>
      </c>
      <c r="CY35" s="67">
        <v>1</v>
      </c>
      <c r="CZ35" s="67">
        <v>1</v>
      </c>
      <c r="DA35" s="67"/>
      <c r="DB35" s="67">
        <v>5</v>
      </c>
      <c r="DC35" s="67">
        <v>5</v>
      </c>
      <c r="DD35" s="67">
        <v>5</v>
      </c>
      <c r="DE35" s="67">
        <v>4</v>
      </c>
      <c r="DF35" s="67">
        <v>4</v>
      </c>
      <c r="DG35" s="67">
        <v>4</v>
      </c>
      <c r="DH35" s="67">
        <v>3</v>
      </c>
      <c r="DI35" s="67">
        <v>1</v>
      </c>
      <c r="DJ35" s="67"/>
      <c r="DK35" s="67"/>
      <c r="DL35" s="67"/>
      <c r="DM35" s="67"/>
      <c r="DN35" s="67"/>
      <c r="DO35" s="67"/>
      <c r="DP35" s="67"/>
      <c r="DQ35" s="67"/>
      <c r="DR35" s="67"/>
      <c r="DS35" s="67"/>
      <c r="DT35" s="67"/>
      <c r="DU35" s="67">
        <v>1</v>
      </c>
      <c r="DV35" s="67">
        <v>3</v>
      </c>
      <c r="DW35" s="67"/>
      <c r="DX35" s="67"/>
      <c r="DY35" s="67"/>
      <c r="DZ35" s="67"/>
      <c r="EA35" s="67">
        <v>1</v>
      </c>
      <c r="EB35" s="67"/>
      <c r="EC35" s="67"/>
      <c r="ED35" s="67">
        <v>1</v>
      </c>
      <c r="EE35" s="67"/>
      <c r="EF35" s="67"/>
      <c r="EG35" s="67"/>
      <c r="EH35" s="67">
        <v>32</v>
      </c>
    </row>
    <row r="36" spans="1:144" x14ac:dyDescent="0.2">
      <c r="A36" s="77" t="s">
        <v>4053</v>
      </c>
      <c r="B36" s="77" t="s">
        <v>4215</v>
      </c>
      <c r="C36" s="77">
        <v>-6</v>
      </c>
      <c r="D36" s="77">
        <v>8</v>
      </c>
      <c r="E36" s="77">
        <v>-4</v>
      </c>
      <c r="F36" s="77">
        <v>4</v>
      </c>
      <c r="G36" s="77">
        <v>4</v>
      </c>
      <c r="H36" s="77">
        <v>-10</v>
      </c>
      <c r="I36" s="77">
        <v>8</v>
      </c>
      <c r="J36" s="77">
        <v>-6</v>
      </c>
      <c r="K36" s="77">
        <v>4</v>
      </c>
      <c r="L36" s="77">
        <v>4</v>
      </c>
      <c r="M36" s="77">
        <v>10</v>
      </c>
      <c r="N36" s="77">
        <v>10</v>
      </c>
      <c r="O36" s="77">
        <v>10</v>
      </c>
      <c r="P36" s="77">
        <v>20</v>
      </c>
      <c r="Q36" s="77">
        <v>10</v>
      </c>
      <c r="R36" s="77">
        <v>1</v>
      </c>
      <c r="S36" s="77">
        <v>2</v>
      </c>
      <c r="T36" s="77">
        <v>0.75</v>
      </c>
      <c r="U36" s="77">
        <v>40</v>
      </c>
      <c r="V36" s="12">
        <f t="shared" si="1"/>
        <v>6</v>
      </c>
      <c r="W36" s="12">
        <f>Stats!$B$4</f>
        <v>95.697167755991316</v>
      </c>
      <c r="X36" s="77" t="str">
        <f>Taulukko1[[#This Row],[Main Race]]</f>
        <v>Gnome</v>
      </c>
      <c r="Z36" s="12" t="s">
        <v>4215</v>
      </c>
      <c r="AA36" s="12">
        <v>6543</v>
      </c>
      <c r="AB36" s="12">
        <v>7654</v>
      </c>
      <c r="AC36" s="12">
        <v>6543</v>
      </c>
      <c r="AD36" s="12">
        <v>6543</v>
      </c>
      <c r="AE36" s="12">
        <v>6543</v>
      </c>
      <c r="AF36" s="12">
        <v>6543</v>
      </c>
      <c r="AG36" s="12">
        <v>6543</v>
      </c>
      <c r="AH36" s="12">
        <v>5311</v>
      </c>
      <c r="AJ36" s="20" t="s">
        <v>1042</v>
      </c>
      <c r="AK36" s="12"/>
      <c r="AL36" s="12">
        <v>1</v>
      </c>
      <c r="AM36" s="12">
        <v>1</v>
      </c>
      <c r="AN36" s="12">
        <v>1</v>
      </c>
      <c r="AO36" s="12">
        <v>1</v>
      </c>
      <c r="AP36" s="12">
        <v>1</v>
      </c>
      <c r="AQ36" s="12">
        <v>1</v>
      </c>
      <c r="AR36" s="12">
        <v>1</v>
      </c>
      <c r="AS36" s="12">
        <v>1</v>
      </c>
      <c r="AT36" s="12">
        <v>1</v>
      </c>
      <c r="AU36" s="12">
        <v>1</v>
      </c>
      <c r="AV36" s="12">
        <v>1</v>
      </c>
      <c r="AW36" s="12">
        <v>4</v>
      </c>
      <c r="AX36" s="12">
        <v>4</v>
      </c>
      <c r="AY36" s="12">
        <v>4</v>
      </c>
      <c r="AZ36" s="12">
        <v>1</v>
      </c>
      <c r="BA36" s="12">
        <v>1</v>
      </c>
      <c r="BB36" s="12">
        <v>1</v>
      </c>
      <c r="BC36" s="12">
        <v>1</v>
      </c>
      <c r="BD36" s="12">
        <v>1</v>
      </c>
      <c r="BE36" s="12">
        <v>1</v>
      </c>
      <c r="BF36" s="12">
        <v>1</v>
      </c>
      <c r="BG36" s="12">
        <v>1</v>
      </c>
      <c r="BH36" s="12">
        <v>1</v>
      </c>
      <c r="BI36" s="12">
        <v>1</v>
      </c>
      <c r="BJ36" s="12">
        <v>1</v>
      </c>
      <c r="BK36" s="12">
        <v>1</v>
      </c>
      <c r="BL36" s="12">
        <v>1</v>
      </c>
      <c r="BM36" s="12">
        <v>1</v>
      </c>
      <c r="BN36" s="12">
        <v>1</v>
      </c>
      <c r="BO36" s="12">
        <v>1</v>
      </c>
      <c r="BP36" s="12"/>
      <c r="BQ36" s="12">
        <v>1</v>
      </c>
      <c r="BR36" s="12">
        <v>1</v>
      </c>
      <c r="BS36" s="12">
        <v>1</v>
      </c>
      <c r="BT36" s="12">
        <v>1</v>
      </c>
      <c r="BU36" s="12">
        <v>1</v>
      </c>
      <c r="BV36" s="12">
        <v>1</v>
      </c>
      <c r="BW36" s="67">
        <v>1</v>
      </c>
      <c r="BX36" s="67">
        <v>1</v>
      </c>
      <c r="BY36" s="67">
        <v>1</v>
      </c>
      <c r="BZ36" s="67">
        <v>1</v>
      </c>
      <c r="CA36" s="67">
        <v>1</v>
      </c>
      <c r="CB36" s="67">
        <v>1</v>
      </c>
      <c r="CC36" s="67">
        <v>1</v>
      </c>
      <c r="CD36" s="67">
        <v>1</v>
      </c>
      <c r="CE36" s="67">
        <v>1</v>
      </c>
      <c r="CF36" s="67">
        <v>1</v>
      </c>
      <c r="CG36" s="67">
        <v>1</v>
      </c>
      <c r="CH36" s="67">
        <v>1</v>
      </c>
      <c r="CI36" s="67">
        <v>1</v>
      </c>
      <c r="CJ36" s="67">
        <v>1</v>
      </c>
      <c r="CK36" s="67">
        <v>1</v>
      </c>
      <c r="CL36" s="67">
        <v>1</v>
      </c>
      <c r="CM36" s="67">
        <v>1</v>
      </c>
      <c r="CN36" s="67">
        <v>1</v>
      </c>
      <c r="CO36" s="67">
        <v>1</v>
      </c>
      <c r="CP36" s="67">
        <v>1</v>
      </c>
      <c r="CQ36" s="67">
        <v>1</v>
      </c>
      <c r="CR36" s="67">
        <v>1</v>
      </c>
      <c r="CS36" s="67">
        <v>1</v>
      </c>
      <c r="CT36" s="67">
        <v>1</v>
      </c>
      <c r="CU36" s="67">
        <v>2</v>
      </c>
      <c r="CV36" s="67">
        <v>2</v>
      </c>
      <c r="CW36" s="67">
        <v>1</v>
      </c>
      <c r="CX36" s="67">
        <v>1</v>
      </c>
      <c r="CY36" s="67">
        <v>1</v>
      </c>
      <c r="CZ36" s="67">
        <v>1</v>
      </c>
      <c r="DA36" s="67">
        <v>1</v>
      </c>
      <c r="DB36" s="67">
        <v>1</v>
      </c>
      <c r="DC36" s="67">
        <v>1</v>
      </c>
      <c r="DD36" s="67">
        <v>1</v>
      </c>
      <c r="DE36" s="67">
        <v>1</v>
      </c>
      <c r="DF36" s="67">
        <v>1</v>
      </c>
      <c r="DG36" s="67">
        <v>1</v>
      </c>
      <c r="DH36" s="67">
        <v>1</v>
      </c>
      <c r="DI36" s="67">
        <v>1</v>
      </c>
      <c r="DJ36" s="67">
        <v>1</v>
      </c>
      <c r="DK36" s="67">
        <v>1</v>
      </c>
      <c r="DL36" s="67">
        <v>1</v>
      </c>
      <c r="DM36" s="67">
        <v>1</v>
      </c>
      <c r="DN36" s="67">
        <v>1</v>
      </c>
      <c r="DO36" s="67">
        <v>1</v>
      </c>
      <c r="DP36" s="67">
        <v>1</v>
      </c>
      <c r="DQ36" s="67">
        <v>1</v>
      </c>
      <c r="DR36" s="67"/>
      <c r="DS36" s="67"/>
      <c r="DT36" s="67"/>
      <c r="DU36" s="67">
        <v>1</v>
      </c>
      <c r="DV36" s="67">
        <v>1</v>
      </c>
      <c r="DW36" s="67">
        <v>1</v>
      </c>
      <c r="DX36" s="67">
        <v>1</v>
      </c>
      <c r="DY36" s="67">
        <v>1</v>
      </c>
      <c r="DZ36" s="67">
        <v>1</v>
      </c>
      <c r="EA36" s="67">
        <v>1</v>
      </c>
      <c r="EB36" s="67">
        <v>1</v>
      </c>
      <c r="EC36" s="67">
        <v>1</v>
      </c>
      <c r="ED36" s="67">
        <v>1</v>
      </c>
      <c r="EE36" s="67">
        <v>1</v>
      </c>
      <c r="EF36" s="67"/>
      <c r="EG36" s="67"/>
      <c r="EH36" s="67">
        <v>33</v>
      </c>
    </row>
    <row r="37" spans="1:144" x14ac:dyDescent="0.2">
      <c r="A37" s="77" t="s">
        <v>888</v>
      </c>
      <c r="B37" s="77" t="s">
        <v>952</v>
      </c>
      <c r="C37" s="77"/>
      <c r="D37" s="77"/>
      <c r="E37" s="77">
        <v>2</v>
      </c>
      <c r="F37" s="77"/>
      <c r="G37" s="77"/>
      <c r="H37" s="77">
        <v>2</v>
      </c>
      <c r="I37" s="77"/>
      <c r="J37" s="77">
        <v>-2</v>
      </c>
      <c r="K37" s="77">
        <v>2</v>
      </c>
      <c r="L37" s="77"/>
      <c r="M37" s="77"/>
      <c r="N37" s="77"/>
      <c r="O37" s="77"/>
      <c r="P37" s="77"/>
      <c r="Q37" s="77"/>
      <c r="R37" s="77">
        <v>12</v>
      </c>
      <c r="S37" s="77">
        <v>6</v>
      </c>
      <c r="T37" s="77">
        <v>1</v>
      </c>
      <c r="U37" s="77">
        <v>50</v>
      </c>
      <c r="V37" s="12">
        <f t="shared" si="1"/>
        <v>4</v>
      </c>
      <c r="W37" s="12"/>
      <c r="X37" s="77" t="str">
        <f>Taulukko1[[#This Row],[Main Race]]</f>
        <v>Talatherim</v>
      </c>
      <c r="Z37" s="12" t="s">
        <v>952</v>
      </c>
      <c r="AA37" s="12">
        <v>6543</v>
      </c>
      <c r="AB37" s="12">
        <v>6543</v>
      </c>
      <c r="AC37" s="12">
        <v>7654</v>
      </c>
      <c r="AD37" s="12">
        <v>6543</v>
      </c>
      <c r="AE37" s="12">
        <v>6543</v>
      </c>
      <c r="AF37" s="12">
        <v>6543</v>
      </c>
      <c r="AG37" s="12">
        <v>6543</v>
      </c>
      <c r="AH37" s="12">
        <v>7521</v>
      </c>
      <c r="AJ37" s="20" t="s">
        <v>1043</v>
      </c>
      <c r="AK37" s="12">
        <v>1</v>
      </c>
      <c r="AL37" s="12"/>
      <c r="AM37" s="12"/>
      <c r="AN37" s="12"/>
      <c r="AO37" s="12"/>
      <c r="AP37" s="12"/>
      <c r="AQ37" s="12"/>
      <c r="AR37" s="12">
        <v>1</v>
      </c>
      <c r="AS37" s="12"/>
      <c r="AT37" s="12"/>
      <c r="AU37" s="12"/>
      <c r="AV37" s="12"/>
      <c r="AW37" s="12"/>
      <c r="AX37" s="12"/>
      <c r="AY37" s="12"/>
      <c r="AZ37" s="12"/>
      <c r="BA37" s="12"/>
      <c r="BB37" s="12"/>
      <c r="BC37" s="12"/>
      <c r="BD37" s="12"/>
      <c r="BE37" s="12">
        <v>1</v>
      </c>
      <c r="BF37" s="12">
        <v>1</v>
      </c>
      <c r="BG37" s="12"/>
      <c r="BH37" s="12"/>
      <c r="BI37" s="12"/>
      <c r="BJ37" s="12">
        <v>1</v>
      </c>
      <c r="BK37" s="12"/>
      <c r="BL37" s="12"/>
      <c r="BM37" s="12"/>
      <c r="BN37" s="12"/>
      <c r="BO37" s="12"/>
      <c r="BP37" s="12"/>
      <c r="BQ37" s="12">
        <v>1</v>
      </c>
      <c r="BR37" s="12"/>
      <c r="BS37" s="12"/>
      <c r="BT37" s="12">
        <v>5</v>
      </c>
      <c r="BU37" s="12"/>
      <c r="BV37" s="12"/>
      <c r="BW37" s="67"/>
      <c r="BX37" s="67"/>
      <c r="BY37" s="67"/>
      <c r="BZ37" s="67">
        <v>5</v>
      </c>
      <c r="CA37" s="67">
        <v>5</v>
      </c>
      <c r="CB37" s="67">
        <v>1</v>
      </c>
      <c r="CC37" s="67">
        <v>1</v>
      </c>
      <c r="CD37" s="67"/>
      <c r="CE37" s="67">
        <v>1</v>
      </c>
      <c r="CF37" s="67"/>
      <c r="CG37" s="67"/>
      <c r="CH37" s="67"/>
      <c r="CI37" s="67"/>
      <c r="CJ37" s="67"/>
      <c r="CK37" s="67"/>
      <c r="CL37" s="67"/>
      <c r="CM37" s="67"/>
      <c r="CN37" s="67"/>
      <c r="CO37" s="67"/>
      <c r="CP37" s="67"/>
      <c r="CQ37" s="67"/>
      <c r="CR37" s="67">
        <v>1</v>
      </c>
      <c r="CS37" s="67"/>
      <c r="CT37" s="67"/>
      <c r="CU37" s="67">
        <v>3</v>
      </c>
      <c r="CV37" s="67">
        <v>3</v>
      </c>
      <c r="CW37" s="67"/>
      <c r="CX37" s="67"/>
      <c r="CY37" s="67"/>
      <c r="CZ37" s="67"/>
      <c r="DA37" s="67">
        <v>1</v>
      </c>
      <c r="DB37" s="67"/>
      <c r="DC37" s="67"/>
      <c r="DD37" s="67"/>
      <c r="DE37" s="67"/>
      <c r="DF37" s="67"/>
      <c r="DG37" s="67"/>
      <c r="DH37" s="67"/>
      <c r="DI37" s="67"/>
      <c r="DJ37" s="67"/>
      <c r="DK37" s="67"/>
      <c r="DL37" s="67"/>
      <c r="DM37" s="67"/>
      <c r="DN37" s="67"/>
      <c r="DO37" s="67"/>
      <c r="DP37" s="67"/>
      <c r="DQ37" s="67"/>
      <c r="DR37" s="67"/>
      <c r="DS37" s="67"/>
      <c r="DT37" s="67"/>
      <c r="DU37" s="67"/>
      <c r="DV37" s="67"/>
      <c r="DW37" s="67"/>
      <c r="DX37" s="67"/>
      <c r="DY37" s="67"/>
      <c r="DZ37" s="67"/>
      <c r="EA37" s="67"/>
      <c r="EB37" s="67"/>
      <c r="EC37" s="67"/>
      <c r="ED37" s="67"/>
      <c r="EE37" s="67"/>
      <c r="EF37" s="67"/>
      <c r="EG37" s="67"/>
      <c r="EH37" s="67">
        <v>34</v>
      </c>
    </row>
    <row r="38" spans="1:144" x14ac:dyDescent="0.2">
      <c r="A38" s="77" t="s">
        <v>886</v>
      </c>
      <c r="B38" s="77" t="s">
        <v>4227</v>
      </c>
      <c r="C38" s="77">
        <v>6</v>
      </c>
      <c r="D38" s="77">
        <v>6</v>
      </c>
      <c r="E38" s="77">
        <v>-4</v>
      </c>
      <c r="F38" s="77"/>
      <c r="G38" s="77"/>
      <c r="H38" s="77">
        <v>-6</v>
      </c>
      <c r="I38" s="77">
        <v>4</v>
      </c>
      <c r="J38" s="77">
        <v>-4</v>
      </c>
      <c r="K38" s="77"/>
      <c r="L38" s="77">
        <v>2</v>
      </c>
      <c r="M38" s="77">
        <v>25</v>
      </c>
      <c r="N38" s="77">
        <v>10</v>
      </c>
      <c r="O38" s="77">
        <v>20</v>
      </c>
      <c r="P38" s="77">
        <v>30</v>
      </c>
      <c r="Q38" s="77">
        <v>15</v>
      </c>
      <c r="R38" s="77">
        <v>1</v>
      </c>
      <c r="S38" s="77">
        <v>5</v>
      </c>
      <c r="T38" s="77">
        <v>0.5</v>
      </c>
      <c r="U38" s="77">
        <v>45</v>
      </c>
      <c r="V38" s="12">
        <f t="shared" si="1"/>
        <v>4</v>
      </c>
      <c r="W38" s="12">
        <f>Stats!$B$4</f>
        <v>95.697167755991316</v>
      </c>
      <c r="X38" s="77" t="str">
        <f>Taulukko1[[#This Row],[Main Race]]</f>
        <v>Halfling</v>
      </c>
      <c r="Z38" s="12" t="s">
        <v>4227</v>
      </c>
      <c r="AA38" s="12">
        <v>3211</v>
      </c>
      <c r="AB38" s="12">
        <v>6543</v>
      </c>
      <c r="AC38" s="12">
        <v>3211</v>
      </c>
      <c r="AD38" s="12">
        <v>4322</v>
      </c>
      <c r="AE38" s="12">
        <v>3211</v>
      </c>
      <c r="AF38" s="12">
        <v>4322</v>
      </c>
      <c r="AG38" s="12">
        <v>2111</v>
      </c>
      <c r="AH38" s="12">
        <v>6321</v>
      </c>
      <c r="AJ38" s="20" t="s">
        <v>702</v>
      </c>
      <c r="AK38" s="12">
        <v>4</v>
      </c>
      <c r="AL38" s="12">
        <v>2</v>
      </c>
      <c r="AM38" s="12">
        <v>2</v>
      </c>
      <c r="AN38" s="12">
        <v>4</v>
      </c>
      <c r="AO38" s="12">
        <v>4</v>
      </c>
      <c r="AP38" s="12">
        <v>4</v>
      </c>
      <c r="AQ38" s="12">
        <v>2</v>
      </c>
      <c r="AR38" s="12">
        <v>2</v>
      </c>
      <c r="AS38" s="12">
        <v>2</v>
      </c>
      <c r="AT38" s="12">
        <v>1</v>
      </c>
      <c r="AU38" s="12">
        <v>3</v>
      </c>
      <c r="AV38" s="12">
        <v>3</v>
      </c>
      <c r="AW38" s="12">
        <v>2</v>
      </c>
      <c r="AX38" s="12">
        <v>1</v>
      </c>
      <c r="AY38" s="12">
        <v>2</v>
      </c>
      <c r="AZ38" s="12">
        <v>2</v>
      </c>
      <c r="BA38" s="12">
        <v>1</v>
      </c>
      <c r="BB38" s="12">
        <v>2</v>
      </c>
      <c r="BC38" s="12">
        <v>2</v>
      </c>
      <c r="BD38" s="12">
        <v>2</v>
      </c>
      <c r="BE38" s="12">
        <v>1</v>
      </c>
      <c r="BF38" s="12">
        <v>2</v>
      </c>
      <c r="BG38" s="12">
        <v>2</v>
      </c>
      <c r="BH38" s="12">
        <v>1</v>
      </c>
      <c r="BI38" s="12">
        <v>2</v>
      </c>
      <c r="BJ38" s="12">
        <v>1</v>
      </c>
      <c r="BK38" s="12">
        <v>2</v>
      </c>
      <c r="BL38" s="12">
        <v>1</v>
      </c>
      <c r="BM38" s="12">
        <v>1</v>
      </c>
      <c r="BN38" s="12">
        <v>2</v>
      </c>
      <c r="BO38" s="12">
        <v>2</v>
      </c>
      <c r="BP38" s="12">
        <v>2</v>
      </c>
      <c r="BQ38" s="12">
        <v>1</v>
      </c>
      <c r="BR38" s="12">
        <v>1</v>
      </c>
      <c r="BS38" s="12">
        <v>1</v>
      </c>
      <c r="BT38" s="12">
        <v>1</v>
      </c>
      <c r="BU38" s="12">
        <v>3</v>
      </c>
      <c r="BV38" s="12">
        <v>3</v>
      </c>
      <c r="BW38" s="67">
        <v>2</v>
      </c>
      <c r="BX38" s="67">
        <v>2</v>
      </c>
      <c r="BY38" s="67">
        <v>1</v>
      </c>
      <c r="BZ38" s="67">
        <v>1</v>
      </c>
      <c r="CA38" s="67">
        <v>1</v>
      </c>
      <c r="CB38" s="67">
        <v>3</v>
      </c>
      <c r="CC38" s="67">
        <v>3</v>
      </c>
      <c r="CD38" s="67">
        <v>2</v>
      </c>
      <c r="CE38" s="67">
        <v>2</v>
      </c>
      <c r="CF38" s="67">
        <v>2</v>
      </c>
      <c r="CG38" s="67">
        <v>1</v>
      </c>
      <c r="CH38" s="67">
        <v>2</v>
      </c>
      <c r="CI38" s="67">
        <v>2</v>
      </c>
      <c r="CJ38" s="67">
        <v>4</v>
      </c>
      <c r="CK38" s="67">
        <v>3</v>
      </c>
      <c r="CL38" s="67">
        <v>1</v>
      </c>
      <c r="CM38" s="67">
        <v>3</v>
      </c>
      <c r="CN38" s="67">
        <v>2</v>
      </c>
      <c r="CO38" s="67">
        <v>2</v>
      </c>
      <c r="CP38" s="67">
        <v>2</v>
      </c>
      <c r="CQ38" s="67">
        <v>1</v>
      </c>
      <c r="CR38" s="67">
        <v>1</v>
      </c>
      <c r="CS38" s="67">
        <v>2</v>
      </c>
      <c r="CT38" s="67">
        <v>1</v>
      </c>
      <c r="CU38" s="67">
        <v>1</v>
      </c>
      <c r="CV38" s="67">
        <v>1</v>
      </c>
      <c r="CW38" s="67">
        <v>1</v>
      </c>
      <c r="CX38" s="67">
        <v>1</v>
      </c>
      <c r="CY38" s="67">
        <v>1</v>
      </c>
      <c r="CZ38" s="67">
        <v>1</v>
      </c>
      <c r="DA38" s="67">
        <v>1</v>
      </c>
      <c r="DB38" s="67">
        <v>2</v>
      </c>
      <c r="DC38" s="67">
        <v>2</v>
      </c>
      <c r="DD38" s="67">
        <v>2</v>
      </c>
      <c r="DE38" s="67">
        <v>2</v>
      </c>
      <c r="DF38" s="67">
        <v>2</v>
      </c>
      <c r="DG38" s="67">
        <v>2</v>
      </c>
      <c r="DH38" s="67">
        <v>3</v>
      </c>
      <c r="DI38" s="67">
        <v>2</v>
      </c>
      <c r="DJ38" s="67">
        <v>3</v>
      </c>
      <c r="DK38" s="67">
        <v>1</v>
      </c>
      <c r="DL38" s="67">
        <v>2</v>
      </c>
      <c r="DM38" s="67">
        <v>1</v>
      </c>
      <c r="DN38" s="67">
        <v>1</v>
      </c>
      <c r="DO38" s="67">
        <v>2</v>
      </c>
      <c r="DP38" s="67">
        <v>2</v>
      </c>
      <c r="DQ38" s="67">
        <v>2</v>
      </c>
      <c r="DR38" s="67"/>
      <c r="DS38" s="67"/>
      <c r="DT38" s="67"/>
      <c r="DU38" s="67">
        <v>3</v>
      </c>
      <c r="DV38" s="67">
        <v>2</v>
      </c>
      <c r="DW38" s="67">
        <v>3</v>
      </c>
      <c r="DX38" s="67">
        <v>4</v>
      </c>
      <c r="DY38" s="67">
        <v>3</v>
      </c>
      <c r="DZ38" s="67">
        <v>3</v>
      </c>
      <c r="EA38" s="67">
        <v>3</v>
      </c>
      <c r="EB38" s="67">
        <v>4</v>
      </c>
      <c r="EC38" s="67">
        <v>5</v>
      </c>
      <c r="ED38" s="67">
        <v>3</v>
      </c>
      <c r="EE38" s="67">
        <v>3</v>
      </c>
      <c r="EF38" s="67"/>
      <c r="EG38" s="67"/>
      <c r="EH38" s="67">
        <v>35</v>
      </c>
    </row>
    <row r="39" spans="1:144" x14ac:dyDescent="0.2">
      <c r="A39" s="77" t="s">
        <v>917</v>
      </c>
      <c r="B39" s="77" t="s">
        <v>1032</v>
      </c>
      <c r="C39" s="77">
        <v>4</v>
      </c>
      <c r="D39" s="77"/>
      <c r="E39" s="77"/>
      <c r="F39" s="77"/>
      <c r="G39" s="77"/>
      <c r="H39" s="77">
        <v>4</v>
      </c>
      <c r="I39" s="77"/>
      <c r="J39" s="77">
        <v>2</v>
      </c>
      <c r="K39" s="77"/>
      <c r="L39" s="77"/>
      <c r="M39" s="77"/>
      <c r="N39" s="77"/>
      <c r="O39" s="77"/>
      <c r="P39" s="77">
        <v>5</v>
      </c>
      <c r="Q39" s="77">
        <v>15</v>
      </c>
      <c r="R39" s="77">
        <v>10</v>
      </c>
      <c r="S39" s="77">
        <v>4</v>
      </c>
      <c r="T39" s="77">
        <v>0.75</v>
      </c>
      <c r="U39" s="77">
        <f>S39*10</f>
        <v>40</v>
      </c>
      <c r="V39" s="12">
        <f t="shared" si="1"/>
        <v>10</v>
      </c>
      <c r="W39" s="12"/>
      <c r="X39" s="77" t="str">
        <f>Taulukko1[[#This Row],[Main Race]]</f>
        <v>High Man</v>
      </c>
      <c r="Z39" s="12" t="s">
        <v>1032</v>
      </c>
      <c r="AA39" s="12">
        <v>6543</v>
      </c>
      <c r="AB39" s="12">
        <v>6543</v>
      </c>
      <c r="AC39" s="12">
        <v>7654</v>
      </c>
      <c r="AD39" s="12">
        <v>6453</v>
      </c>
      <c r="AE39" s="12">
        <v>6543</v>
      </c>
      <c r="AF39" s="12">
        <v>6543</v>
      </c>
      <c r="AG39" s="12">
        <v>6543</v>
      </c>
      <c r="AH39" s="12">
        <v>7531</v>
      </c>
      <c r="AJ39" s="12" t="s">
        <v>705</v>
      </c>
      <c r="AK39" s="12">
        <v>4</v>
      </c>
      <c r="AL39" s="12">
        <v>2</v>
      </c>
      <c r="AM39" s="12">
        <v>2</v>
      </c>
      <c r="AN39" s="12">
        <v>4</v>
      </c>
      <c r="AO39" s="12">
        <v>4</v>
      </c>
      <c r="AP39" s="12">
        <v>4</v>
      </c>
      <c r="AQ39" s="12">
        <v>2</v>
      </c>
      <c r="AR39" s="12">
        <v>2</v>
      </c>
      <c r="AS39" s="12">
        <v>2</v>
      </c>
      <c r="AT39" s="12">
        <v>1</v>
      </c>
      <c r="AU39" s="12">
        <v>3</v>
      </c>
      <c r="AV39" s="12">
        <v>3</v>
      </c>
      <c r="AW39" s="12">
        <v>2</v>
      </c>
      <c r="AX39" s="12">
        <v>1</v>
      </c>
      <c r="AY39" s="12">
        <v>2</v>
      </c>
      <c r="AZ39" s="12">
        <v>2</v>
      </c>
      <c r="BA39" s="12">
        <v>1</v>
      </c>
      <c r="BB39" s="12">
        <v>2</v>
      </c>
      <c r="BC39" s="12">
        <v>2</v>
      </c>
      <c r="BD39" s="12">
        <v>2</v>
      </c>
      <c r="BE39" s="12">
        <v>1</v>
      </c>
      <c r="BF39" s="12">
        <v>2</v>
      </c>
      <c r="BG39" s="12">
        <v>2</v>
      </c>
      <c r="BH39" s="12">
        <v>1</v>
      </c>
      <c r="BI39" s="12">
        <v>2</v>
      </c>
      <c r="BJ39" s="12">
        <v>1</v>
      </c>
      <c r="BK39" s="12">
        <v>2</v>
      </c>
      <c r="BL39" s="12">
        <v>1</v>
      </c>
      <c r="BM39" s="12">
        <v>1</v>
      </c>
      <c r="BN39" s="12">
        <v>2</v>
      </c>
      <c r="BO39" s="12">
        <v>2</v>
      </c>
      <c r="BP39" s="12">
        <v>2</v>
      </c>
      <c r="BQ39" s="12">
        <v>1</v>
      </c>
      <c r="BR39" s="12">
        <v>1</v>
      </c>
      <c r="BS39" s="12">
        <v>1</v>
      </c>
      <c r="BT39" s="12">
        <v>1</v>
      </c>
      <c r="BU39" s="12">
        <v>3</v>
      </c>
      <c r="BV39" s="12">
        <v>3</v>
      </c>
      <c r="BW39" s="67">
        <v>2</v>
      </c>
      <c r="BX39" s="67">
        <v>2</v>
      </c>
      <c r="BY39" s="67">
        <v>1</v>
      </c>
      <c r="BZ39" s="67">
        <v>1</v>
      </c>
      <c r="CA39" s="67">
        <v>1</v>
      </c>
      <c r="CB39" s="67">
        <v>3</v>
      </c>
      <c r="CC39" s="67">
        <v>3</v>
      </c>
      <c r="CD39" s="67">
        <v>2</v>
      </c>
      <c r="CE39" s="67">
        <v>2</v>
      </c>
      <c r="CF39" s="67">
        <v>2</v>
      </c>
      <c r="CG39" s="67">
        <v>1</v>
      </c>
      <c r="CH39" s="67">
        <v>2</v>
      </c>
      <c r="CI39" s="67">
        <v>2</v>
      </c>
      <c r="CJ39" s="67">
        <v>4</v>
      </c>
      <c r="CK39" s="67">
        <v>3</v>
      </c>
      <c r="CL39" s="67">
        <v>1</v>
      </c>
      <c r="CM39" s="67">
        <v>3</v>
      </c>
      <c r="CN39" s="67">
        <v>2</v>
      </c>
      <c r="CO39" s="67">
        <v>2</v>
      </c>
      <c r="CP39" s="67">
        <v>2</v>
      </c>
      <c r="CQ39" s="67">
        <v>1</v>
      </c>
      <c r="CR39" s="67">
        <v>1</v>
      </c>
      <c r="CS39" s="67">
        <v>2</v>
      </c>
      <c r="CT39" s="67">
        <v>1</v>
      </c>
      <c r="CU39" s="67">
        <v>1</v>
      </c>
      <c r="CV39" s="67">
        <v>1</v>
      </c>
      <c r="CW39" s="67">
        <v>1</v>
      </c>
      <c r="CX39" s="67">
        <v>1</v>
      </c>
      <c r="CY39" s="67">
        <v>1</v>
      </c>
      <c r="CZ39" s="67">
        <v>1</v>
      </c>
      <c r="DA39" s="67">
        <v>1</v>
      </c>
      <c r="DB39" s="67">
        <v>2</v>
      </c>
      <c r="DC39" s="67">
        <v>2</v>
      </c>
      <c r="DD39" s="67">
        <v>2</v>
      </c>
      <c r="DE39" s="67">
        <v>2</v>
      </c>
      <c r="DF39" s="67">
        <v>2</v>
      </c>
      <c r="DG39" s="67">
        <v>2</v>
      </c>
      <c r="DH39" s="67">
        <v>3</v>
      </c>
      <c r="DI39" s="67">
        <v>2</v>
      </c>
      <c r="DJ39" s="67">
        <v>3</v>
      </c>
      <c r="DK39" s="67">
        <v>1</v>
      </c>
      <c r="DL39" s="67">
        <v>2</v>
      </c>
      <c r="DM39" s="67">
        <v>1</v>
      </c>
      <c r="DN39" s="67">
        <v>1</v>
      </c>
      <c r="DO39" s="67">
        <v>2</v>
      </c>
      <c r="DP39" s="67">
        <v>2</v>
      </c>
      <c r="DQ39" s="67">
        <v>2</v>
      </c>
      <c r="DR39" s="67"/>
      <c r="DS39" s="67"/>
      <c r="DT39" s="67"/>
      <c r="DU39" s="67">
        <v>3</v>
      </c>
      <c r="DV39" s="67">
        <v>2</v>
      </c>
      <c r="DW39" s="67">
        <v>3</v>
      </c>
      <c r="DX39" s="67">
        <v>4</v>
      </c>
      <c r="DY39" s="67">
        <v>3</v>
      </c>
      <c r="DZ39" s="67">
        <v>3</v>
      </c>
      <c r="EA39" s="67">
        <v>3</v>
      </c>
      <c r="EB39" s="67">
        <v>4</v>
      </c>
      <c r="EC39" s="67">
        <v>5</v>
      </c>
      <c r="ED39" s="67">
        <v>3</v>
      </c>
      <c r="EE39" s="67">
        <v>3</v>
      </c>
      <c r="EF39" s="67"/>
      <c r="EG39" s="67"/>
      <c r="EH39" s="67">
        <v>36</v>
      </c>
    </row>
    <row r="40" spans="1:144" x14ac:dyDescent="0.2">
      <c r="A40" s="77" t="s">
        <v>881</v>
      </c>
      <c r="B40" s="77" t="s">
        <v>933</v>
      </c>
      <c r="C40" s="77">
        <v>2</v>
      </c>
      <c r="D40" s="77"/>
      <c r="E40" s="77">
        <v>2</v>
      </c>
      <c r="F40" s="77"/>
      <c r="G40" s="77"/>
      <c r="H40" s="77">
        <v>2</v>
      </c>
      <c r="I40" s="77"/>
      <c r="J40" s="77">
        <v>2</v>
      </c>
      <c r="K40" s="77"/>
      <c r="L40" s="77"/>
      <c r="M40" s="77"/>
      <c r="N40" s="77"/>
      <c r="O40" s="77"/>
      <c r="P40" s="77"/>
      <c r="Q40" s="77"/>
      <c r="R40" s="77">
        <v>11</v>
      </c>
      <c r="S40" s="77">
        <v>5</v>
      </c>
      <c r="T40" s="77">
        <v>0.9</v>
      </c>
      <c r="U40" s="77">
        <f>S40*10</f>
        <v>50</v>
      </c>
      <c r="V40" s="12">
        <f t="shared" si="1"/>
        <v>8</v>
      </c>
      <c r="W40" s="12"/>
      <c r="X40" s="77" t="str">
        <f>Taulukko1[[#This Row],[Main Race]]</f>
        <v>Eriedain</v>
      </c>
      <c r="Z40" s="12" t="s">
        <v>933</v>
      </c>
      <c r="AA40" s="12">
        <v>6543</v>
      </c>
      <c r="AB40" s="12">
        <v>6543</v>
      </c>
      <c r="AC40" s="12">
        <v>7654</v>
      </c>
      <c r="AD40" s="12">
        <v>6543</v>
      </c>
      <c r="AE40" s="12">
        <v>6543</v>
      </c>
      <c r="AF40" s="12">
        <v>6543</v>
      </c>
      <c r="AG40" s="12">
        <v>6543</v>
      </c>
      <c r="AH40" s="12">
        <v>7521</v>
      </c>
      <c r="AJ40" s="20" t="s">
        <v>706</v>
      </c>
      <c r="AK40" s="12">
        <v>2</v>
      </c>
      <c r="AL40" s="12">
        <v>2</v>
      </c>
      <c r="AM40" s="12">
        <v>2</v>
      </c>
      <c r="AN40" s="12">
        <v>1</v>
      </c>
      <c r="AO40" s="12">
        <v>1</v>
      </c>
      <c r="AP40" s="12">
        <v>1</v>
      </c>
      <c r="AQ40" s="12">
        <v>1</v>
      </c>
      <c r="AR40" s="12">
        <v>1</v>
      </c>
      <c r="AS40" s="12">
        <v>1</v>
      </c>
      <c r="AT40" s="12">
        <v>1</v>
      </c>
      <c r="AU40" s="12">
        <v>1</v>
      </c>
      <c r="AV40" s="12">
        <v>1</v>
      </c>
      <c r="AW40" s="12">
        <v>1</v>
      </c>
      <c r="AX40" s="12">
        <v>1</v>
      </c>
      <c r="AY40" s="12">
        <v>1</v>
      </c>
      <c r="AZ40" s="12">
        <v>1</v>
      </c>
      <c r="BA40" s="12">
        <v>1</v>
      </c>
      <c r="BB40" s="12">
        <v>2</v>
      </c>
      <c r="BC40" s="12">
        <v>1</v>
      </c>
      <c r="BD40" s="12">
        <v>2</v>
      </c>
      <c r="BE40" s="12">
        <v>1</v>
      </c>
      <c r="BF40" s="12">
        <v>1</v>
      </c>
      <c r="BG40" s="12">
        <v>1</v>
      </c>
      <c r="BH40" s="12">
        <v>1</v>
      </c>
      <c r="BI40" s="12">
        <v>1</v>
      </c>
      <c r="BJ40" s="12">
        <v>1</v>
      </c>
      <c r="BK40" s="12">
        <v>1</v>
      </c>
      <c r="BL40" s="12">
        <v>1</v>
      </c>
      <c r="BM40" s="12">
        <v>1</v>
      </c>
      <c r="BN40" s="12">
        <v>2</v>
      </c>
      <c r="BO40" s="12">
        <v>1</v>
      </c>
      <c r="BP40" s="12">
        <v>1</v>
      </c>
      <c r="BQ40" s="12">
        <v>1</v>
      </c>
      <c r="BR40" s="12">
        <v>1</v>
      </c>
      <c r="BS40" s="12">
        <v>1</v>
      </c>
      <c r="BT40" s="12">
        <v>1</v>
      </c>
      <c r="BU40" s="12">
        <v>1</v>
      </c>
      <c r="BV40" s="12">
        <v>1</v>
      </c>
      <c r="BW40" s="67">
        <v>2</v>
      </c>
      <c r="BX40" s="67">
        <v>2</v>
      </c>
      <c r="BY40" s="67">
        <v>1</v>
      </c>
      <c r="BZ40" s="67">
        <v>1</v>
      </c>
      <c r="CA40" s="67">
        <v>1</v>
      </c>
      <c r="CB40" s="67">
        <v>2</v>
      </c>
      <c r="CC40" s="67">
        <v>2</v>
      </c>
      <c r="CD40" s="67">
        <v>1</v>
      </c>
      <c r="CE40" s="67">
        <v>1</v>
      </c>
      <c r="CF40" s="67">
        <v>1</v>
      </c>
      <c r="CG40" s="67">
        <v>1</v>
      </c>
      <c r="CH40" s="67">
        <v>1</v>
      </c>
      <c r="CI40" s="67">
        <v>2</v>
      </c>
      <c r="CJ40" s="67">
        <v>1</v>
      </c>
      <c r="CK40" s="67">
        <v>3</v>
      </c>
      <c r="CL40" s="67">
        <v>1</v>
      </c>
      <c r="CM40" s="67">
        <v>1</v>
      </c>
      <c r="CN40" s="67">
        <v>1</v>
      </c>
      <c r="CO40" s="67">
        <v>1</v>
      </c>
      <c r="CP40" s="67">
        <v>1</v>
      </c>
      <c r="CQ40" s="67">
        <v>1</v>
      </c>
      <c r="CR40" s="67">
        <v>1</v>
      </c>
      <c r="CS40" s="67">
        <v>1</v>
      </c>
      <c r="CT40" s="67">
        <v>1</v>
      </c>
      <c r="CU40" s="67">
        <v>1</v>
      </c>
      <c r="CV40" s="67">
        <v>1</v>
      </c>
      <c r="CW40" s="67">
        <v>1</v>
      </c>
      <c r="CX40" s="67">
        <v>1</v>
      </c>
      <c r="CY40" s="67">
        <v>1</v>
      </c>
      <c r="CZ40" s="67">
        <v>1</v>
      </c>
      <c r="DA40" s="67">
        <v>1</v>
      </c>
      <c r="DB40" s="67">
        <v>2</v>
      </c>
      <c r="DC40" s="67">
        <v>2</v>
      </c>
      <c r="DD40" s="67">
        <v>2</v>
      </c>
      <c r="DE40" s="67">
        <v>1</v>
      </c>
      <c r="DF40" s="67">
        <v>1</v>
      </c>
      <c r="DG40" s="67">
        <v>1</v>
      </c>
      <c r="DH40" s="67">
        <v>1</v>
      </c>
      <c r="DI40" s="67">
        <v>2</v>
      </c>
      <c r="DJ40" s="67">
        <v>2</v>
      </c>
      <c r="DK40" s="67">
        <v>1</v>
      </c>
      <c r="DL40" s="67">
        <v>2</v>
      </c>
      <c r="DM40" s="67">
        <v>1</v>
      </c>
      <c r="DN40" s="67">
        <v>1</v>
      </c>
      <c r="DO40" s="67">
        <v>1</v>
      </c>
      <c r="DP40" s="67">
        <v>2</v>
      </c>
      <c r="DQ40" s="67">
        <v>2</v>
      </c>
      <c r="DR40" s="67"/>
      <c r="DS40" s="67"/>
      <c r="DT40" s="67"/>
      <c r="DU40" s="67">
        <v>1</v>
      </c>
      <c r="DV40" s="67">
        <v>1</v>
      </c>
      <c r="DW40" s="67">
        <v>1</v>
      </c>
      <c r="DX40" s="67">
        <v>1</v>
      </c>
      <c r="DY40" s="67">
        <v>1</v>
      </c>
      <c r="DZ40" s="67">
        <v>3</v>
      </c>
      <c r="EA40" s="67">
        <v>1</v>
      </c>
      <c r="EB40" s="67">
        <v>2</v>
      </c>
      <c r="EC40" s="67">
        <v>2</v>
      </c>
      <c r="ED40" s="67">
        <v>2</v>
      </c>
      <c r="EE40" s="67">
        <v>2</v>
      </c>
      <c r="EF40" s="67"/>
      <c r="EG40" s="67"/>
      <c r="EH40" s="67">
        <v>37</v>
      </c>
    </row>
    <row r="41" spans="1:144" x14ac:dyDescent="0.2">
      <c r="A41" s="77" t="s">
        <v>876</v>
      </c>
      <c r="B41" s="77" t="s">
        <v>4226</v>
      </c>
      <c r="C41" s="77">
        <v>4</v>
      </c>
      <c r="D41" s="77"/>
      <c r="E41" s="77">
        <v>4</v>
      </c>
      <c r="F41" s="77"/>
      <c r="G41" s="77"/>
      <c r="H41" s="77">
        <v>4</v>
      </c>
      <c r="I41" s="77">
        <v>-2</v>
      </c>
      <c r="J41" s="77">
        <v>-4</v>
      </c>
      <c r="K41" s="77">
        <v>-4</v>
      </c>
      <c r="L41" s="77"/>
      <c r="M41" s="77">
        <v>20</v>
      </c>
      <c r="N41" s="77"/>
      <c r="O41" s="77">
        <v>20</v>
      </c>
      <c r="P41" s="77">
        <v>30</v>
      </c>
      <c r="Q41" s="77">
        <v>15</v>
      </c>
      <c r="R41" s="77">
        <v>1</v>
      </c>
      <c r="S41" s="77">
        <v>4</v>
      </c>
      <c r="T41" s="77">
        <v>0.5</v>
      </c>
      <c r="U41" s="77">
        <v>50</v>
      </c>
      <c r="V41" s="12">
        <f t="shared" si="1"/>
        <v>2</v>
      </c>
      <c r="W41" s="12"/>
      <c r="X41" s="77" t="str">
        <f>Taulukko1[[#This Row],[Main Race]]</f>
        <v>Dwarf</v>
      </c>
      <c r="Z41" s="12" t="s">
        <v>4226</v>
      </c>
      <c r="AA41" s="12">
        <v>4322</v>
      </c>
      <c r="AB41" s="12">
        <v>6543</v>
      </c>
      <c r="AC41" s="12">
        <v>3211</v>
      </c>
      <c r="AD41" s="12">
        <v>4322</v>
      </c>
      <c r="AE41" s="12">
        <v>3221</v>
      </c>
      <c r="AF41" s="12">
        <v>4322</v>
      </c>
      <c r="AG41" s="12">
        <v>2111</v>
      </c>
      <c r="AH41" s="12">
        <v>7421</v>
      </c>
      <c r="AJ41" s="12" t="s">
        <v>1064</v>
      </c>
      <c r="AK41" s="12">
        <v>2</v>
      </c>
      <c r="AL41" s="12">
        <v>2</v>
      </c>
      <c r="AM41" s="12">
        <v>2</v>
      </c>
      <c r="AN41" s="12">
        <v>1</v>
      </c>
      <c r="AO41" s="12">
        <v>1</v>
      </c>
      <c r="AP41" s="12">
        <v>1</v>
      </c>
      <c r="AQ41" s="12">
        <v>1</v>
      </c>
      <c r="AR41" s="12">
        <v>1</v>
      </c>
      <c r="AS41" s="12">
        <v>1</v>
      </c>
      <c r="AT41" s="12">
        <v>1</v>
      </c>
      <c r="AU41" s="12">
        <v>1</v>
      </c>
      <c r="AV41" s="12">
        <v>1</v>
      </c>
      <c r="AW41" s="12">
        <v>1</v>
      </c>
      <c r="AX41" s="12">
        <v>1</v>
      </c>
      <c r="AY41" s="12">
        <v>1</v>
      </c>
      <c r="AZ41" s="12">
        <v>1</v>
      </c>
      <c r="BA41" s="12">
        <v>1</v>
      </c>
      <c r="BB41" s="12">
        <v>2</v>
      </c>
      <c r="BC41" s="12">
        <v>1</v>
      </c>
      <c r="BD41" s="12">
        <v>2</v>
      </c>
      <c r="BE41" s="12">
        <v>1</v>
      </c>
      <c r="BF41" s="12">
        <v>1</v>
      </c>
      <c r="BG41" s="12">
        <v>1</v>
      </c>
      <c r="BH41" s="12">
        <v>1</v>
      </c>
      <c r="BI41" s="12">
        <v>1</v>
      </c>
      <c r="BJ41" s="12">
        <v>1</v>
      </c>
      <c r="BK41" s="12">
        <v>1</v>
      </c>
      <c r="BL41" s="12">
        <v>1</v>
      </c>
      <c r="BM41" s="12">
        <v>1</v>
      </c>
      <c r="BN41" s="12">
        <v>2</v>
      </c>
      <c r="BO41" s="12">
        <v>1</v>
      </c>
      <c r="BP41" s="12">
        <v>1</v>
      </c>
      <c r="BQ41" s="12">
        <v>1</v>
      </c>
      <c r="BR41" s="12">
        <v>1</v>
      </c>
      <c r="BS41" s="12">
        <v>1</v>
      </c>
      <c r="BT41" s="12">
        <v>1</v>
      </c>
      <c r="BU41" s="12">
        <v>1</v>
      </c>
      <c r="BV41" s="12">
        <v>1</v>
      </c>
      <c r="BW41" s="67">
        <v>2</v>
      </c>
      <c r="BX41" s="67">
        <v>2</v>
      </c>
      <c r="BY41" s="67">
        <v>1</v>
      </c>
      <c r="BZ41" s="67">
        <v>1</v>
      </c>
      <c r="CA41" s="67">
        <v>1</v>
      </c>
      <c r="CB41" s="67">
        <v>2</v>
      </c>
      <c r="CC41" s="67">
        <v>2</v>
      </c>
      <c r="CD41" s="67">
        <v>1</v>
      </c>
      <c r="CE41" s="67">
        <v>1</v>
      </c>
      <c r="CF41" s="67">
        <v>1</v>
      </c>
      <c r="CG41" s="67">
        <v>1</v>
      </c>
      <c r="CH41" s="67">
        <v>1</v>
      </c>
      <c r="CI41" s="67">
        <v>2</v>
      </c>
      <c r="CJ41" s="67">
        <v>1</v>
      </c>
      <c r="CK41" s="67">
        <v>3</v>
      </c>
      <c r="CL41" s="67">
        <v>1</v>
      </c>
      <c r="CM41" s="67">
        <v>1</v>
      </c>
      <c r="CN41" s="67">
        <v>1</v>
      </c>
      <c r="CO41" s="67">
        <v>1</v>
      </c>
      <c r="CP41" s="67">
        <v>1</v>
      </c>
      <c r="CQ41" s="67">
        <v>1</v>
      </c>
      <c r="CR41" s="67">
        <v>1</v>
      </c>
      <c r="CS41" s="67">
        <v>1</v>
      </c>
      <c r="CT41" s="67">
        <v>1</v>
      </c>
      <c r="CU41" s="67">
        <v>1</v>
      </c>
      <c r="CV41" s="67">
        <v>1</v>
      </c>
      <c r="CW41" s="67">
        <v>1</v>
      </c>
      <c r="CX41" s="67">
        <v>1</v>
      </c>
      <c r="CY41" s="67">
        <v>1</v>
      </c>
      <c r="CZ41" s="67">
        <v>1</v>
      </c>
      <c r="DA41" s="67">
        <v>1</v>
      </c>
      <c r="DB41" s="67">
        <v>2</v>
      </c>
      <c r="DC41" s="67">
        <v>2</v>
      </c>
      <c r="DD41" s="67">
        <v>2</v>
      </c>
      <c r="DE41" s="67">
        <v>1</v>
      </c>
      <c r="DF41" s="67">
        <v>1</v>
      </c>
      <c r="DG41" s="67">
        <v>1</v>
      </c>
      <c r="DH41" s="67">
        <v>1</v>
      </c>
      <c r="DI41" s="67">
        <v>2</v>
      </c>
      <c r="DJ41" s="67">
        <v>2</v>
      </c>
      <c r="DK41" s="67">
        <v>1</v>
      </c>
      <c r="DL41" s="67">
        <v>2</v>
      </c>
      <c r="DM41" s="67">
        <v>1</v>
      </c>
      <c r="DN41" s="67">
        <v>1</v>
      </c>
      <c r="DO41" s="67">
        <v>1</v>
      </c>
      <c r="DP41" s="67">
        <v>2</v>
      </c>
      <c r="DQ41" s="67">
        <v>2</v>
      </c>
      <c r="DR41" s="67"/>
      <c r="DS41" s="67"/>
      <c r="DT41" s="67"/>
      <c r="DU41" s="67">
        <v>1</v>
      </c>
      <c r="DV41" s="67">
        <v>1</v>
      </c>
      <c r="DW41" s="67">
        <v>1</v>
      </c>
      <c r="DX41" s="67">
        <v>1</v>
      </c>
      <c r="DY41" s="67">
        <v>1</v>
      </c>
      <c r="DZ41" s="67">
        <v>3</v>
      </c>
      <c r="EA41" s="67">
        <v>1</v>
      </c>
      <c r="EB41" s="67">
        <v>2</v>
      </c>
      <c r="EC41" s="67">
        <v>2</v>
      </c>
      <c r="ED41" s="67">
        <v>2</v>
      </c>
      <c r="EE41" s="67">
        <v>2</v>
      </c>
      <c r="EF41" s="67"/>
      <c r="EG41" s="67"/>
      <c r="EH41" s="67">
        <v>38</v>
      </c>
    </row>
    <row r="42" spans="1:144" x14ac:dyDescent="0.2">
      <c r="A42" s="77" t="s">
        <v>4055</v>
      </c>
      <c r="B42" s="77" t="s">
        <v>4066</v>
      </c>
      <c r="C42" s="77"/>
      <c r="D42" s="77"/>
      <c r="E42" s="77">
        <v>2</v>
      </c>
      <c r="F42" s="77"/>
      <c r="G42" s="77"/>
      <c r="H42" s="77">
        <v>2</v>
      </c>
      <c r="I42" s="77"/>
      <c r="J42" s="77">
        <v>2</v>
      </c>
      <c r="K42" s="77"/>
      <c r="L42" s="77"/>
      <c r="M42" s="77"/>
      <c r="N42" s="77"/>
      <c r="O42" s="77"/>
      <c r="P42" s="77"/>
      <c r="Q42" s="77"/>
      <c r="R42" s="77">
        <v>1</v>
      </c>
      <c r="S42" s="77">
        <v>5</v>
      </c>
      <c r="T42" s="77">
        <v>0.9</v>
      </c>
      <c r="U42" s="77">
        <v>50</v>
      </c>
      <c r="V42" s="12">
        <f t="shared" si="1"/>
        <v>6</v>
      </c>
      <c r="W42" s="12"/>
      <c r="X42" s="77" t="str">
        <f>Taulukko1[[#This Row],[Main Race]]</f>
        <v>Human</v>
      </c>
      <c r="Z42" s="12" t="s">
        <v>4066</v>
      </c>
      <c r="AA42" s="12">
        <v>6543</v>
      </c>
      <c r="AB42" s="12">
        <v>6543</v>
      </c>
      <c r="AC42" s="12">
        <v>7654</v>
      </c>
      <c r="AD42" s="12">
        <v>6543</v>
      </c>
      <c r="AE42" s="12">
        <v>6543</v>
      </c>
      <c r="AF42" s="12">
        <v>6543</v>
      </c>
      <c r="AG42" s="12">
        <v>6543</v>
      </c>
      <c r="AH42" s="12">
        <v>6421</v>
      </c>
      <c r="AJ42" s="20" t="s">
        <v>709</v>
      </c>
      <c r="AK42" s="12"/>
      <c r="AL42" s="12"/>
      <c r="AM42" s="12"/>
      <c r="AN42" s="12"/>
      <c r="AO42" s="12"/>
      <c r="AP42" s="12"/>
      <c r="AQ42" s="12"/>
      <c r="AR42" s="12"/>
      <c r="AS42" s="12"/>
      <c r="AT42" s="12"/>
      <c r="AU42" s="12"/>
      <c r="AV42" s="12"/>
      <c r="AW42" s="12"/>
      <c r="AX42" s="12"/>
      <c r="AY42" s="12"/>
      <c r="AZ42" s="12">
        <v>1</v>
      </c>
      <c r="BA42" s="12"/>
      <c r="BB42" s="12"/>
      <c r="BC42" s="12">
        <v>1</v>
      </c>
      <c r="BD42" s="12">
        <v>1</v>
      </c>
      <c r="BE42" s="12">
        <v>1</v>
      </c>
      <c r="BF42" s="12">
        <v>1</v>
      </c>
      <c r="BG42" s="12">
        <v>1</v>
      </c>
      <c r="BH42" s="12"/>
      <c r="BI42" s="12">
        <v>1</v>
      </c>
      <c r="BJ42" s="12"/>
      <c r="BK42" s="12">
        <v>1</v>
      </c>
      <c r="BL42" s="12"/>
      <c r="BM42" s="12">
        <v>1</v>
      </c>
      <c r="BN42" s="12">
        <v>2</v>
      </c>
      <c r="BO42" s="12"/>
      <c r="BP42" s="12">
        <v>1</v>
      </c>
      <c r="BQ42" s="12">
        <v>1</v>
      </c>
      <c r="BR42" s="12">
        <v>1</v>
      </c>
      <c r="BS42" s="12">
        <v>1</v>
      </c>
      <c r="BT42" s="12"/>
      <c r="BU42" s="12">
        <v>1</v>
      </c>
      <c r="BV42" s="12">
        <v>1</v>
      </c>
      <c r="BW42" s="67">
        <v>1</v>
      </c>
      <c r="BX42" s="67">
        <v>1</v>
      </c>
      <c r="BY42" s="67">
        <v>1</v>
      </c>
      <c r="BZ42" s="67"/>
      <c r="CA42" s="67">
        <v>1</v>
      </c>
      <c r="CB42" s="67">
        <v>1</v>
      </c>
      <c r="CC42" s="67">
        <v>1</v>
      </c>
      <c r="CD42" s="67">
        <v>1</v>
      </c>
      <c r="CE42" s="67">
        <v>1</v>
      </c>
      <c r="CF42" s="67">
        <v>1</v>
      </c>
      <c r="CG42" s="67">
        <v>1</v>
      </c>
      <c r="CH42" s="67">
        <v>1</v>
      </c>
      <c r="CI42" s="67">
        <v>1</v>
      </c>
      <c r="CJ42" s="67"/>
      <c r="CK42" s="67">
        <v>2</v>
      </c>
      <c r="CL42" s="67"/>
      <c r="CM42" s="67"/>
      <c r="CN42" s="67"/>
      <c r="CO42" s="67"/>
      <c r="CP42" s="67">
        <v>1</v>
      </c>
      <c r="CQ42" s="67">
        <v>1</v>
      </c>
      <c r="CR42" s="67">
        <v>1</v>
      </c>
      <c r="CS42" s="67"/>
      <c r="CT42" s="67">
        <v>1</v>
      </c>
      <c r="CU42" s="67">
        <v>1</v>
      </c>
      <c r="CV42" s="67">
        <v>1</v>
      </c>
      <c r="CW42" s="67">
        <v>1</v>
      </c>
      <c r="CX42" s="67">
        <v>1</v>
      </c>
      <c r="CY42" s="67">
        <v>1</v>
      </c>
      <c r="CZ42" s="67">
        <v>1</v>
      </c>
      <c r="DA42" s="67">
        <v>1</v>
      </c>
      <c r="DB42" s="67"/>
      <c r="DC42" s="67"/>
      <c r="DD42" s="67"/>
      <c r="DE42" s="67">
        <v>1</v>
      </c>
      <c r="DF42" s="67">
        <v>1</v>
      </c>
      <c r="DG42" s="67">
        <v>1</v>
      </c>
      <c r="DH42" s="67">
        <v>1</v>
      </c>
      <c r="DI42" s="67">
        <v>2</v>
      </c>
      <c r="DJ42" s="67">
        <v>1</v>
      </c>
      <c r="DK42" s="67">
        <v>1</v>
      </c>
      <c r="DL42" s="67">
        <v>1</v>
      </c>
      <c r="DM42" s="67">
        <v>1</v>
      </c>
      <c r="DN42" s="67">
        <v>1</v>
      </c>
      <c r="DO42" s="67">
        <v>1</v>
      </c>
      <c r="DP42" s="67">
        <v>1</v>
      </c>
      <c r="DQ42" s="67">
        <v>1</v>
      </c>
      <c r="DR42" s="67"/>
      <c r="DS42" s="67"/>
      <c r="DT42" s="67"/>
      <c r="DU42" s="67">
        <v>1</v>
      </c>
      <c r="DV42" s="67"/>
      <c r="DW42" s="67">
        <v>1</v>
      </c>
      <c r="DX42" s="67">
        <v>1</v>
      </c>
      <c r="DY42" s="67">
        <v>1</v>
      </c>
      <c r="DZ42" s="67"/>
      <c r="EA42" s="67"/>
      <c r="EB42" s="67"/>
      <c r="EC42" s="67"/>
      <c r="ED42" s="67">
        <v>1</v>
      </c>
      <c r="EE42" s="67"/>
      <c r="EF42" s="67"/>
      <c r="EG42" s="67"/>
      <c r="EH42" s="67">
        <v>39</v>
      </c>
    </row>
    <row r="43" spans="1:144" x14ac:dyDescent="0.2">
      <c r="A43" s="77" t="s">
        <v>3942</v>
      </c>
      <c r="B43" s="77" t="s">
        <v>880</v>
      </c>
      <c r="C43" s="77">
        <v>2</v>
      </c>
      <c r="D43" s="77">
        <v>2</v>
      </c>
      <c r="E43" s="77">
        <v>-3</v>
      </c>
      <c r="F43" s="77"/>
      <c r="G43" s="77"/>
      <c r="H43" s="77">
        <v>2</v>
      </c>
      <c r="I43" s="77">
        <v>2</v>
      </c>
      <c r="J43" s="77">
        <v>2</v>
      </c>
      <c r="K43" s="77"/>
      <c r="L43" s="77"/>
      <c r="M43" s="77"/>
      <c r="N43" s="77"/>
      <c r="O43" s="77"/>
      <c r="P43" s="77">
        <v>5</v>
      </c>
      <c r="Q43" s="77">
        <v>50</v>
      </c>
      <c r="R43" s="77">
        <v>1</v>
      </c>
      <c r="S43" s="77">
        <v>4</v>
      </c>
      <c r="T43" s="77">
        <v>1.5</v>
      </c>
      <c r="U43" s="77">
        <v>25</v>
      </c>
      <c r="V43" s="12">
        <f t="shared" si="1"/>
        <v>7</v>
      </c>
      <c r="W43" s="12"/>
      <c r="X43" s="77" t="str">
        <f>Taulukko1[[#This Row],[Main Race]]</f>
        <v>Elf</v>
      </c>
      <c r="Z43" s="12" t="s">
        <v>880</v>
      </c>
      <c r="AA43" s="12">
        <v>6543</v>
      </c>
      <c r="AB43" s="12">
        <v>6543</v>
      </c>
      <c r="AC43" s="12">
        <v>7654</v>
      </c>
      <c r="AD43" s="12">
        <v>6543</v>
      </c>
      <c r="AE43" s="12">
        <v>6543</v>
      </c>
      <c r="AF43" s="12">
        <v>6543</v>
      </c>
      <c r="AG43" s="12">
        <v>6543</v>
      </c>
      <c r="AH43" s="12">
        <v>7431</v>
      </c>
      <c r="AJ43" s="12" t="s">
        <v>710</v>
      </c>
      <c r="AK43" s="12"/>
      <c r="AL43" s="12"/>
      <c r="AM43" s="12"/>
      <c r="AN43" s="12"/>
      <c r="AO43" s="12"/>
      <c r="AP43" s="12"/>
      <c r="AQ43" s="12"/>
      <c r="AR43" s="12"/>
      <c r="AS43" s="12"/>
      <c r="AT43" s="12"/>
      <c r="AU43" s="12"/>
      <c r="AV43" s="12"/>
      <c r="AW43" s="12"/>
      <c r="AX43" s="12"/>
      <c r="AY43" s="12"/>
      <c r="AZ43" s="12">
        <v>1</v>
      </c>
      <c r="BA43" s="12"/>
      <c r="BB43" s="12"/>
      <c r="BC43" s="12">
        <v>1</v>
      </c>
      <c r="BD43" s="12">
        <v>1</v>
      </c>
      <c r="BE43" s="12">
        <v>1</v>
      </c>
      <c r="BF43" s="12">
        <v>1</v>
      </c>
      <c r="BG43" s="12">
        <v>1</v>
      </c>
      <c r="BH43" s="12"/>
      <c r="BI43" s="12">
        <v>1</v>
      </c>
      <c r="BJ43" s="12"/>
      <c r="BK43" s="12">
        <v>1</v>
      </c>
      <c r="BL43" s="12"/>
      <c r="BM43" s="12">
        <v>1</v>
      </c>
      <c r="BN43" s="12">
        <v>2</v>
      </c>
      <c r="BO43" s="12"/>
      <c r="BP43" s="12">
        <v>1</v>
      </c>
      <c r="BQ43" s="12">
        <v>1</v>
      </c>
      <c r="BR43" s="12">
        <v>1</v>
      </c>
      <c r="BS43" s="12">
        <v>1</v>
      </c>
      <c r="BT43" s="12"/>
      <c r="BU43" s="12">
        <v>1</v>
      </c>
      <c r="BV43" s="12">
        <v>1</v>
      </c>
      <c r="BW43" s="67">
        <v>1</v>
      </c>
      <c r="BX43" s="67">
        <v>1</v>
      </c>
      <c r="BY43" s="67">
        <v>1</v>
      </c>
      <c r="BZ43" s="67"/>
      <c r="CA43" s="67">
        <v>1</v>
      </c>
      <c r="CB43" s="67">
        <v>1</v>
      </c>
      <c r="CC43" s="67">
        <v>1</v>
      </c>
      <c r="CD43" s="67">
        <v>1</v>
      </c>
      <c r="CE43" s="67">
        <v>1</v>
      </c>
      <c r="CF43" s="67">
        <v>1</v>
      </c>
      <c r="CG43" s="67">
        <v>1</v>
      </c>
      <c r="CH43" s="67">
        <v>1</v>
      </c>
      <c r="CI43" s="67">
        <v>1</v>
      </c>
      <c r="CJ43" s="67"/>
      <c r="CK43" s="67">
        <v>2</v>
      </c>
      <c r="CL43" s="67"/>
      <c r="CM43" s="67"/>
      <c r="CN43" s="67"/>
      <c r="CO43" s="67"/>
      <c r="CP43" s="67">
        <v>1</v>
      </c>
      <c r="CQ43" s="67">
        <v>1</v>
      </c>
      <c r="CR43" s="67">
        <v>1</v>
      </c>
      <c r="CS43" s="67"/>
      <c r="CT43" s="67">
        <v>1</v>
      </c>
      <c r="CU43" s="67">
        <v>1</v>
      </c>
      <c r="CV43" s="67">
        <v>1</v>
      </c>
      <c r="CW43" s="67">
        <v>1</v>
      </c>
      <c r="CX43" s="67">
        <v>1</v>
      </c>
      <c r="CY43" s="67">
        <v>1</v>
      </c>
      <c r="CZ43" s="67">
        <v>1</v>
      </c>
      <c r="DA43" s="67">
        <v>1</v>
      </c>
      <c r="DB43" s="67"/>
      <c r="DC43" s="67"/>
      <c r="DD43" s="67"/>
      <c r="DE43" s="67">
        <v>1</v>
      </c>
      <c r="DF43" s="67">
        <v>1</v>
      </c>
      <c r="DG43" s="67">
        <v>1</v>
      </c>
      <c r="DH43" s="67">
        <v>1</v>
      </c>
      <c r="DI43" s="67">
        <v>2</v>
      </c>
      <c r="DJ43" s="67">
        <v>1</v>
      </c>
      <c r="DK43" s="67">
        <v>1</v>
      </c>
      <c r="DL43" s="67">
        <v>1</v>
      </c>
      <c r="DM43" s="67">
        <v>1</v>
      </c>
      <c r="DN43" s="67">
        <v>1</v>
      </c>
      <c r="DO43" s="67">
        <v>1</v>
      </c>
      <c r="DP43" s="67">
        <v>1</v>
      </c>
      <c r="DQ43" s="67">
        <v>1</v>
      </c>
      <c r="DR43" s="67"/>
      <c r="DS43" s="67"/>
      <c r="DT43" s="67"/>
      <c r="DU43" s="67">
        <v>1</v>
      </c>
      <c r="DV43" s="67"/>
      <c r="DW43" s="67">
        <v>1</v>
      </c>
      <c r="DX43" s="67">
        <v>1</v>
      </c>
      <c r="DY43" s="67">
        <v>1</v>
      </c>
      <c r="DZ43" s="67"/>
      <c r="EA43" s="67"/>
      <c r="EB43" s="67"/>
      <c r="EC43" s="67"/>
      <c r="ED43" s="67">
        <v>1</v>
      </c>
      <c r="EE43" s="67"/>
      <c r="EF43" s="67"/>
      <c r="EG43" s="67"/>
      <c r="EH43" s="67">
        <v>40</v>
      </c>
    </row>
    <row r="44" spans="1:144" x14ac:dyDescent="0.2">
      <c r="A44" s="77" t="s">
        <v>1037</v>
      </c>
      <c r="B44" s="77" t="s">
        <v>1038</v>
      </c>
      <c r="C44" s="77">
        <v>2</v>
      </c>
      <c r="D44" s="77"/>
      <c r="E44" s="77">
        <v>2</v>
      </c>
      <c r="F44" s="77"/>
      <c r="G44" s="77"/>
      <c r="H44" s="77">
        <v>2</v>
      </c>
      <c r="I44" s="77"/>
      <c r="J44" s="77">
        <v>-2</v>
      </c>
      <c r="K44" s="77"/>
      <c r="L44" s="77"/>
      <c r="M44" s="77"/>
      <c r="N44" s="77"/>
      <c r="O44" s="77"/>
      <c r="P44" s="77">
        <v>10</v>
      </c>
      <c r="Q44" s="77"/>
      <c r="R44" s="77">
        <v>6</v>
      </c>
      <c r="S44" s="77">
        <v>5</v>
      </c>
      <c r="T44" s="77">
        <v>0.75</v>
      </c>
      <c r="U44" s="77">
        <f>S44*10</f>
        <v>50</v>
      </c>
      <c r="V44" s="12">
        <f t="shared" si="1"/>
        <v>4</v>
      </c>
      <c r="W44" s="12"/>
      <c r="X44" s="77" t="str">
        <f>Taulukko1[[#This Row],[Main Race]]</f>
        <v>Half-orc</v>
      </c>
      <c r="Z44" s="12" t="s">
        <v>1038</v>
      </c>
      <c r="AA44" s="12">
        <v>6432</v>
      </c>
      <c r="AB44" s="12">
        <v>6543</v>
      </c>
      <c r="AC44" s="12">
        <v>6432</v>
      </c>
      <c r="AD44" s="12">
        <v>6432</v>
      </c>
      <c r="AE44" s="12">
        <v>6432</v>
      </c>
      <c r="AF44" s="12">
        <v>6432</v>
      </c>
      <c r="AG44" s="12">
        <v>6432</v>
      </c>
      <c r="AH44" s="12">
        <v>7521</v>
      </c>
      <c r="AJ44" s="20" t="s">
        <v>713</v>
      </c>
      <c r="AK44" s="12"/>
      <c r="AL44" s="12"/>
      <c r="AM44" s="12"/>
      <c r="AN44" s="12"/>
      <c r="AO44" s="12"/>
      <c r="AP44" s="12"/>
      <c r="AQ44" s="12"/>
      <c r="AR44" s="12"/>
      <c r="AS44" s="12"/>
      <c r="AT44" s="12"/>
      <c r="AU44" s="12"/>
      <c r="AV44" s="12"/>
      <c r="AW44" s="12"/>
      <c r="AX44" s="12"/>
      <c r="AY44" s="12"/>
      <c r="AZ44" s="12"/>
      <c r="BA44" s="12"/>
      <c r="BB44" s="12"/>
      <c r="BC44" s="12"/>
      <c r="BD44" s="12"/>
      <c r="BE44" s="12"/>
      <c r="BF44" s="12"/>
      <c r="BG44" s="12"/>
      <c r="BH44" s="12"/>
      <c r="BI44" s="12"/>
      <c r="BJ44" s="12"/>
      <c r="BK44" s="12"/>
      <c r="BL44" s="12"/>
      <c r="BM44" s="12"/>
      <c r="BN44" s="12"/>
      <c r="BO44" s="12"/>
      <c r="BP44" s="12"/>
      <c r="BQ44" s="12"/>
      <c r="BR44" s="12"/>
      <c r="BS44" s="12"/>
      <c r="BT44" s="12"/>
      <c r="BU44" s="12"/>
      <c r="BV44" s="12"/>
      <c r="BW44" s="67">
        <v>1</v>
      </c>
      <c r="BX44" s="67">
        <v>1</v>
      </c>
      <c r="BY44" s="67">
        <v>1</v>
      </c>
      <c r="BZ44" s="67"/>
      <c r="CA44" s="67"/>
      <c r="CB44" s="67">
        <v>1</v>
      </c>
      <c r="CC44" s="67">
        <v>1</v>
      </c>
      <c r="CD44" s="67"/>
      <c r="CE44" s="67"/>
      <c r="CF44" s="67"/>
      <c r="CG44" s="67">
        <v>1</v>
      </c>
      <c r="CH44" s="67"/>
      <c r="CI44" s="67"/>
      <c r="CJ44" s="67"/>
      <c r="CK44" s="67"/>
      <c r="CL44" s="67"/>
      <c r="CM44" s="67"/>
      <c r="CN44" s="67"/>
      <c r="CO44" s="67"/>
      <c r="CP44" s="67"/>
      <c r="CQ44" s="67"/>
      <c r="CR44" s="67">
        <v>1</v>
      </c>
      <c r="CS44" s="67"/>
      <c r="CT44" s="67">
        <v>1</v>
      </c>
      <c r="CU44" s="67"/>
      <c r="CV44" s="67"/>
      <c r="CW44" s="67"/>
      <c r="CX44" s="67">
        <v>1</v>
      </c>
      <c r="CY44" s="67"/>
      <c r="CZ44" s="67"/>
      <c r="DA44" s="67"/>
      <c r="DB44" s="67"/>
      <c r="DC44" s="67"/>
      <c r="DD44" s="67"/>
      <c r="DE44" s="67">
        <v>1</v>
      </c>
      <c r="DF44" s="67">
        <v>1</v>
      </c>
      <c r="DG44" s="67">
        <v>1</v>
      </c>
      <c r="DH44" s="67">
        <v>1</v>
      </c>
      <c r="DI44" s="67"/>
      <c r="DJ44" s="67"/>
      <c r="DK44" s="67"/>
      <c r="DL44" s="67">
        <v>1</v>
      </c>
      <c r="DM44" s="67"/>
      <c r="DN44" s="67"/>
      <c r="DO44" s="67"/>
      <c r="DP44" s="67">
        <v>1</v>
      </c>
      <c r="DQ44" s="67">
        <v>1</v>
      </c>
      <c r="DR44" s="67"/>
      <c r="DS44" s="67"/>
      <c r="DT44" s="67"/>
      <c r="DU44" s="67"/>
      <c r="DV44" s="67"/>
      <c r="DW44" s="67"/>
      <c r="DX44" s="67">
        <v>1</v>
      </c>
      <c r="DY44" s="67"/>
      <c r="DZ44" s="67"/>
      <c r="EA44" s="67"/>
      <c r="EB44" s="67"/>
      <c r="EC44" s="67"/>
      <c r="ED44" s="67"/>
      <c r="EE44" s="67"/>
      <c r="EF44" s="67"/>
      <c r="EG44" s="67"/>
      <c r="EH44" s="67">
        <v>41</v>
      </c>
    </row>
    <row r="45" spans="1:144" x14ac:dyDescent="0.2">
      <c r="A45" s="77" t="s">
        <v>1039</v>
      </c>
      <c r="B45" s="77" t="s">
        <v>1039</v>
      </c>
      <c r="C45" s="77">
        <v>6</v>
      </c>
      <c r="D45" s="77">
        <v>-2</v>
      </c>
      <c r="E45" s="77">
        <v>-2</v>
      </c>
      <c r="F45" s="77">
        <v>-2</v>
      </c>
      <c r="G45" s="77">
        <v>-2</v>
      </c>
      <c r="H45" s="77">
        <v>6</v>
      </c>
      <c r="I45" s="77">
        <v>-2</v>
      </c>
      <c r="J45" s="77">
        <v>-2</v>
      </c>
      <c r="K45" s="77">
        <v>-2</v>
      </c>
      <c r="L45" s="77">
        <v>-2</v>
      </c>
      <c r="M45" s="77">
        <v>10</v>
      </c>
      <c r="N45" s="77"/>
      <c r="O45" s="77">
        <v>10</v>
      </c>
      <c r="P45" s="77">
        <v>10</v>
      </c>
      <c r="Q45" s="77">
        <v>25</v>
      </c>
      <c r="R45" s="77">
        <v>3</v>
      </c>
      <c r="S45" s="77">
        <v>4</v>
      </c>
      <c r="T45" s="77">
        <v>0.5</v>
      </c>
      <c r="U45" s="77">
        <f>S45*10</f>
        <v>40</v>
      </c>
      <c r="V45" s="12">
        <f t="shared" si="1"/>
        <v>-4</v>
      </c>
      <c r="W45" s="12"/>
      <c r="X45" s="77" t="str">
        <f>Taulukko1[[#This Row],[Main Race]]</f>
        <v>Half-troll</v>
      </c>
      <c r="Z45" s="12" t="s">
        <v>1039</v>
      </c>
      <c r="AA45" s="12">
        <v>3211</v>
      </c>
      <c r="AB45" s="12">
        <v>3211</v>
      </c>
      <c r="AC45" s="12">
        <v>3211</v>
      </c>
      <c r="AD45" s="12">
        <v>3211</v>
      </c>
      <c r="AE45" s="12">
        <v>3211</v>
      </c>
      <c r="AF45" s="12">
        <v>3211</v>
      </c>
      <c r="AG45" s="12">
        <v>3211</v>
      </c>
      <c r="AH45" s="12">
        <v>9853</v>
      </c>
      <c r="AJ45" s="12" t="s">
        <v>714</v>
      </c>
      <c r="AK45" s="12"/>
      <c r="AL45" s="12"/>
      <c r="AM45" s="12"/>
      <c r="AN45" s="12"/>
      <c r="AO45" s="12"/>
      <c r="AP45" s="12"/>
      <c r="AQ45" s="12"/>
      <c r="AR45" s="12"/>
      <c r="AS45" s="12"/>
      <c r="AT45" s="12"/>
      <c r="AU45" s="12"/>
      <c r="AV45" s="12"/>
      <c r="AW45" s="12"/>
      <c r="AX45" s="12"/>
      <c r="AY45" s="12"/>
      <c r="AZ45" s="12"/>
      <c r="BA45" s="12"/>
      <c r="BB45" s="12"/>
      <c r="BC45" s="12"/>
      <c r="BD45" s="12"/>
      <c r="BE45" s="12"/>
      <c r="BF45" s="12"/>
      <c r="BG45" s="12"/>
      <c r="BH45" s="12"/>
      <c r="BI45" s="12"/>
      <c r="BJ45" s="12"/>
      <c r="BK45" s="12"/>
      <c r="BL45" s="12"/>
      <c r="BM45" s="12"/>
      <c r="BN45" s="12"/>
      <c r="BO45" s="12"/>
      <c r="BP45" s="12"/>
      <c r="BQ45" s="12"/>
      <c r="BR45" s="12"/>
      <c r="BS45" s="12"/>
      <c r="BT45" s="12"/>
      <c r="BU45" s="12"/>
      <c r="BV45" s="12"/>
      <c r="BW45" s="67">
        <v>1</v>
      </c>
      <c r="BX45" s="67">
        <v>1</v>
      </c>
      <c r="BY45" s="67">
        <v>1</v>
      </c>
      <c r="BZ45" s="67"/>
      <c r="CA45" s="67"/>
      <c r="CB45" s="67">
        <v>1</v>
      </c>
      <c r="CC45" s="67">
        <v>1</v>
      </c>
      <c r="CD45" s="67"/>
      <c r="CE45" s="67"/>
      <c r="CF45" s="67"/>
      <c r="CG45" s="67">
        <v>1</v>
      </c>
      <c r="CH45" s="67"/>
      <c r="CI45" s="67"/>
      <c r="CJ45" s="67"/>
      <c r="CK45" s="67"/>
      <c r="CL45" s="67"/>
      <c r="CM45" s="67"/>
      <c r="CN45" s="67"/>
      <c r="CO45" s="67"/>
      <c r="CP45" s="67"/>
      <c r="CQ45" s="67"/>
      <c r="CR45" s="67">
        <v>1</v>
      </c>
      <c r="CS45" s="67"/>
      <c r="CT45" s="67">
        <v>1</v>
      </c>
      <c r="CU45" s="67"/>
      <c r="CV45" s="67"/>
      <c r="CW45" s="67"/>
      <c r="CX45" s="67">
        <v>1</v>
      </c>
      <c r="CY45" s="67"/>
      <c r="CZ45" s="67"/>
      <c r="DA45" s="67"/>
      <c r="DB45" s="67"/>
      <c r="DC45" s="67"/>
      <c r="DD45" s="67"/>
      <c r="DE45" s="67">
        <v>1</v>
      </c>
      <c r="DF45" s="67">
        <v>1</v>
      </c>
      <c r="DG45" s="67">
        <v>1</v>
      </c>
      <c r="DH45" s="67">
        <v>1</v>
      </c>
      <c r="DI45" s="67"/>
      <c r="DJ45" s="67"/>
      <c r="DK45" s="67"/>
      <c r="DL45" s="67">
        <v>1</v>
      </c>
      <c r="DM45" s="67"/>
      <c r="DN45" s="67"/>
      <c r="DO45" s="67"/>
      <c r="DP45" s="67">
        <v>1</v>
      </c>
      <c r="DQ45" s="67">
        <v>1</v>
      </c>
      <c r="DR45" s="67"/>
      <c r="DS45" s="67"/>
      <c r="DT45" s="67"/>
      <c r="DU45" s="67"/>
      <c r="DV45" s="67"/>
      <c r="DW45" s="67"/>
      <c r="DX45" s="67">
        <v>1</v>
      </c>
      <c r="DY45" s="67"/>
      <c r="DZ45" s="67"/>
      <c r="EA45" s="67"/>
      <c r="EB45" s="67"/>
      <c r="EC45" s="67"/>
      <c r="ED45" s="67"/>
      <c r="EE45" s="67"/>
      <c r="EF45" s="67"/>
      <c r="EG45" s="67"/>
      <c r="EH45" s="67">
        <v>42</v>
      </c>
      <c r="EN45" s="67" t="s">
        <v>642</v>
      </c>
    </row>
    <row r="46" spans="1:144" x14ac:dyDescent="0.2">
      <c r="A46" s="77" t="s">
        <v>4055</v>
      </c>
      <c r="B46" s="77" t="s">
        <v>4067</v>
      </c>
      <c r="C46" s="77">
        <v>2</v>
      </c>
      <c r="D46" s="77"/>
      <c r="E46" s="77">
        <v>2</v>
      </c>
      <c r="F46" s="77"/>
      <c r="G46" s="77"/>
      <c r="H46" s="77">
        <v>2</v>
      </c>
      <c r="I46" s="77"/>
      <c r="J46" s="77">
        <v>2</v>
      </c>
      <c r="K46" s="77"/>
      <c r="L46" s="77"/>
      <c r="M46" s="77"/>
      <c r="N46" s="77"/>
      <c r="O46" s="77"/>
      <c r="P46" s="77"/>
      <c r="Q46" s="77"/>
      <c r="R46" s="77">
        <v>1</v>
      </c>
      <c r="S46" s="77">
        <v>5</v>
      </c>
      <c r="T46" s="77">
        <v>1</v>
      </c>
      <c r="U46" s="77">
        <v>45</v>
      </c>
      <c r="V46" s="12">
        <f t="shared" si="1"/>
        <v>8</v>
      </c>
      <c r="W46" s="12"/>
      <c r="X46" s="77" t="str">
        <f>Taulukko1[[#This Row],[Main Race]]</f>
        <v>Human</v>
      </c>
      <c r="Z46" s="12" t="s">
        <v>4067</v>
      </c>
      <c r="AA46" s="12">
        <v>6543</v>
      </c>
      <c r="AB46" s="12">
        <v>6543</v>
      </c>
      <c r="AC46" s="12">
        <v>7654</v>
      </c>
      <c r="AD46" s="12">
        <v>6543</v>
      </c>
      <c r="AE46" s="12">
        <v>6543</v>
      </c>
      <c r="AF46" s="12">
        <v>6543</v>
      </c>
      <c r="AG46" s="12">
        <v>6543</v>
      </c>
      <c r="AH46" s="12">
        <v>6521</v>
      </c>
      <c r="AJ46" s="20" t="s">
        <v>716</v>
      </c>
      <c r="AK46" s="12"/>
      <c r="AL46" s="12"/>
      <c r="AM46" s="12"/>
      <c r="AN46" s="12"/>
      <c r="AO46" s="12"/>
      <c r="AP46" s="12"/>
      <c r="AQ46" s="12"/>
      <c r="AR46" s="12"/>
      <c r="AS46" s="12"/>
      <c r="AT46" s="12"/>
      <c r="AU46" s="12"/>
      <c r="AV46" s="12"/>
      <c r="AW46" s="12"/>
      <c r="AX46" s="12"/>
      <c r="AY46" s="12"/>
      <c r="AZ46" s="12"/>
      <c r="BA46" s="12"/>
      <c r="BB46" s="12"/>
      <c r="BC46" s="12"/>
      <c r="BD46" s="12"/>
      <c r="BE46" s="12"/>
      <c r="BF46" s="12"/>
      <c r="BG46" s="12"/>
      <c r="BH46" s="12"/>
      <c r="BI46" s="12"/>
      <c r="BJ46" s="12"/>
      <c r="BK46" s="12"/>
      <c r="BL46" s="12"/>
      <c r="BM46" s="12"/>
      <c r="BN46" s="12"/>
      <c r="BO46" s="12"/>
      <c r="BP46" s="12"/>
      <c r="BQ46" s="12"/>
      <c r="BR46" s="12"/>
      <c r="BS46" s="12"/>
      <c r="BT46" s="12"/>
      <c r="BU46" s="12"/>
      <c r="BV46" s="12"/>
      <c r="BW46" s="67"/>
      <c r="BX46" s="67"/>
      <c r="BY46" s="67"/>
      <c r="BZ46" s="67"/>
      <c r="CA46" s="67"/>
      <c r="CB46" s="67"/>
      <c r="CC46" s="67"/>
      <c r="CD46" s="67"/>
      <c r="CE46" s="67"/>
      <c r="CF46" s="67"/>
      <c r="CG46" s="67"/>
      <c r="CH46" s="67"/>
      <c r="CI46" s="67"/>
      <c r="CJ46" s="67"/>
      <c r="CK46" s="67"/>
      <c r="CL46" s="67"/>
      <c r="CM46" s="67"/>
      <c r="CN46" s="67"/>
      <c r="CO46" s="67"/>
      <c r="CP46" s="67"/>
      <c r="CQ46" s="67"/>
      <c r="CR46" s="67"/>
      <c r="CS46" s="67"/>
      <c r="CT46" s="67"/>
      <c r="CU46" s="67"/>
      <c r="CV46" s="67"/>
      <c r="CW46" s="67"/>
      <c r="CX46" s="67"/>
      <c r="CY46" s="67"/>
      <c r="CZ46" s="67"/>
      <c r="DA46" s="67"/>
      <c r="DB46" s="67"/>
      <c r="DC46" s="67"/>
      <c r="DD46" s="67"/>
      <c r="DE46" s="67"/>
      <c r="DF46" s="67"/>
      <c r="DG46" s="67"/>
      <c r="DH46" s="67"/>
      <c r="DI46" s="67"/>
      <c r="DJ46" s="67"/>
      <c r="DK46" s="67"/>
      <c r="DL46" s="67"/>
      <c r="DM46" s="67"/>
      <c r="DN46" s="67"/>
      <c r="DO46" s="67"/>
      <c r="DP46" s="67"/>
      <c r="DQ46" s="67"/>
      <c r="DR46" s="67"/>
      <c r="DS46" s="67"/>
      <c r="DT46" s="67"/>
      <c r="DU46" s="67"/>
      <c r="DV46" s="67"/>
      <c r="DW46" s="67"/>
      <c r="DX46" s="67">
        <v>1</v>
      </c>
      <c r="DY46" s="67"/>
      <c r="DZ46" s="67"/>
      <c r="EA46" s="67"/>
      <c r="EB46" s="67"/>
      <c r="EC46" s="67"/>
      <c r="ED46" s="67"/>
      <c r="EE46" s="67"/>
      <c r="EF46" s="67"/>
      <c r="EG46" s="67"/>
      <c r="EH46" s="67">
        <v>43</v>
      </c>
      <c r="EN46" t="s">
        <v>487</v>
      </c>
    </row>
    <row r="47" spans="1:144" x14ac:dyDescent="0.2">
      <c r="A47" s="77" t="s">
        <v>1005</v>
      </c>
      <c r="B47" s="77" t="s">
        <v>939</v>
      </c>
      <c r="C47" s="77"/>
      <c r="D47" s="77"/>
      <c r="E47" s="77">
        <v>2</v>
      </c>
      <c r="F47" s="77"/>
      <c r="G47" s="77"/>
      <c r="H47" s="77">
        <v>2</v>
      </c>
      <c r="I47" s="77"/>
      <c r="J47" s="77"/>
      <c r="K47" s="77"/>
      <c r="L47" s="77"/>
      <c r="M47" s="77"/>
      <c r="N47" s="77"/>
      <c r="O47" s="77"/>
      <c r="P47" s="77"/>
      <c r="Q47" s="77"/>
      <c r="R47" s="77">
        <v>12</v>
      </c>
      <c r="S47" s="77">
        <v>6</v>
      </c>
      <c r="T47" s="77">
        <v>1</v>
      </c>
      <c r="U47" s="77">
        <v>55</v>
      </c>
      <c r="V47" s="12">
        <f t="shared" si="1"/>
        <v>4</v>
      </c>
      <c r="W47" s="12"/>
      <c r="X47" s="77" t="str">
        <f>Taulukko1[[#This Row],[Main Race]]</f>
        <v>Common Men</v>
      </c>
      <c r="Z47" s="12" t="s">
        <v>939</v>
      </c>
      <c r="AA47" s="12">
        <v>6543</v>
      </c>
      <c r="AB47" s="12">
        <v>6543</v>
      </c>
      <c r="AC47" s="12">
        <v>7654</v>
      </c>
      <c r="AD47" s="12">
        <v>6543</v>
      </c>
      <c r="AE47" s="12">
        <v>6543</v>
      </c>
      <c r="AF47" s="12">
        <v>6543</v>
      </c>
      <c r="AG47" s="12">
        <v>6543</v>
      </c>
      <c r="AH47" s="12">
        <v>6521</v>
      </c>
      <c r="AJ47" s="12" t="s">
        <v>718</v>
      </c>
      <c r="AK47" s="12"/>
      <c r="AL47" s="12"/>
      <c r="AM47" s="12"/>
      <c r="AN47" s="12"/>
      <c r="AO47" s="12"/>
      <c r="AP47" s="12"/>
      <c r="AQ47" s="12"/>
      <c r="AR47" s="12"/>
      <c r="AS47" s="12"/>
      <c r="AT47" s="12"/>
      <c r="AU47" s="12"/>
      <c r="AV47" s="12"/>
      <c r="AW47" s="12"/>
      <c r="AX47" s="12"/>
      <c r="AY47" s="12"/>
      <c r="AZ47" s="12"/>
      <c r="BA47" s="12"/>
      <c r="BB47" s="12"/>
      <c r="BC47" s="12"/>
      <c r="BD47" s="12"/>
      <c r="BE47" s="12"/>
      <c r="BF47" s="12"/>
      <c r="BG47" s="12"/>
      <c r="BH47" s="12"/>
      <c r="BI47" s="12"/>
      <c r="BJ47" s="12"/>
      <c r="BK47" s="12"/>
      <c r="BL47" s="12"/>
      <c r="BM47" s="12"/>
      <c r="BN47" s="12"/>
      <c r="BO47" s="12"/>
      <c r="BP47" s="12"/>
      <c r="BQ47" s="12"/>
      <c r="BR47" s="12"/>
      <c r="BS47" s="12"/>
      <c r="BT47" s="12"/>
      <c r="BU47" s="12"/>
      <c r="BV47" s="12"/>
      <c r="BW47" s="67"/>
      <c r="BX47" s="67"/>
      <c r="BY47" s="67"/>
      <c r="BZ47" s="67"/>
      <c r="CA47" s="67"/>
      <c r="CB47" s="67"/>
      <c r="CC47" s="67"/>
      <c r="CD47" s="67"/>
      <c r="CE47" s="67"/>
      <c r="CF47" s="67"/>
      <c r="CG47" s="67"/>
      <c r="CH47" s="67"/>
      <c r="CI47" s="67"/>
      <c r="CJ47" s="67"/>
      <c r="CK47" s="67"/>
      <c r="CL47" s="67"/>
      <c r="CM47" s="67"/>
      <c r="CN47" s="67"/>
      <c r="CO47" s="67"/>
      <c r="CP47" s="67"/>
      <c r="CQ47" s="67"/>
      <c r="CR47" s="67"/>
      <c r="CS47" s="67"/>
      <c r="CT47" s="67"/>
      <c r="CU47" s="67"/>
      <c r="CV47" s="67"/>
      <c r="CW47" s="67"/>
      <c r="CX47" s="67"/>
      <c r="CY47" s="67"/>
      <c r="CZ47" s="67"/>
      <c r="DA47" s="67"/>
      <c r="DB47" s="67"/>
      <c r="DC47" s="67"/>
      <c r="DD47" s="67"/>
      <c r="DE47" s="67"/>
      <c r="DF47" s="67"/>
      <c r="DG47" s="67"/>
      <c r="DH47" s="67"/>
      <c r="DI47" s="67"/>
      <c r="DJ47" s="67"/>
      <c r="DK47" s="67"/>
      <c r="DL47" s="67"/>
      <c r="DM47" s="67"/>
      <c r="DN47" s="67"/>
      <c r="DO47" s="67"/>
      <c r="DP47" s="67"/>
      <c r="DQ47" s="67"/>
      <c r="DR47" s="67"/>
      <c r="DS47" s="67"/>
      <c r="DT47" s="67"/>
      <c r="DU47" s="67"/>
      <c r="DV47" s="67"/>
      <c r="DW47" s="67"/>
      <c r="DX47" s="67">
        <v>1</v>
      </c>
      <c r="DY47" s="67"/>
      <c r="DZ47" s="67"/>
      <c r="EA47" s="67"/>
      <c r="EB47" s="67"/>
      <c r="EC47" s="67"/>
      <c r="ED47" s="67"/>
      <c r="EE47" s="67"/>
      <c r="EF47" s="67"/>
      <c r="EG47" s="67"/>
      <c r="EH47" s="67">
        <v>44</v>
      </c>
      <c r="EN47" t="s">
        <v>590</v>
      </c>
    </row>
    <row r="48" spans="1:144" x14ac:dyDescent="0.2">
      <c r="A48" s="77" t="s">
        <v>1015</v>
      </c>
      <c r="B48" s="77" t="s">
        <v>940</v>
      </c>
      <c r="C48" s="77">
        <v>2</v>
      </c>
      <c r="D48" s="77">
        <v>2</v>
      </c>
      <c r="E48" s="77"/>
      <c r="F48" s="77"/>
      <c r="G48" s="77"/>
      <c r="H48" s="77">
        <v>2</v>
      </c>
      <c r="I48" s="77">
        <v>2</v>
      </c>
      <c r="J48" s="77">
        <v>-2</v>
      </c>
      <c r="K48" s="77">
        <v>2</v>
      </c>
      <c r="L48" s="77">
        <v>-2</v>
      </c>
      <c r="M48" s="77"/>
      <c r="N48" s="77"/>
      <c r="O48" s="77"/>
      <c r="P48" s="77"/>
      <c r="Q48" s="77"/>
      <c r="R48" s="77">
        <v>12</v>
      </c>
      <c r="S48" s="77">
        <v>5</v>
      </c>
      <c r="T48" s="77">
        <v>1</v>
      </c>
      <c r="U48" s="77">
        <v>45</v>
      </c>
      <c r="V48" s="12">
        <f t="shared" si="1"/>
        <v>6</v>
      </c>
      <c r="W48" s="12"/>
      <c r="X48" s="77" t="str">
        <f>Taulukko1[[#This Row],[Main Race]]</f>
        <v>Dark Tribes</v>
      </c>
      <c r="Z48" s="12" t="s">
        <v>940</v>
      </c>
      <c r="AA48" s="12">
        <v>6543</v>
      </c>
      <c r="AB48" s="12">
        <v>6543</v>
      </c>
      <c r="AC48" s="12">
        <v>7654</v>
      </c>
      <c r="AD48" s="12">
        <v>6543</v>
      </c>
      <c r="AE48" s="12">
        <v>6543</v>
      </c>
      <c r="AF48" s="12">
        <v>6543</v>
      </c>
      <c r="AG48" s="12">
        <v>6543</v>
      </c>
      <c r="AH48" s="12">
        <v>6421</v>
      </c>
      <c r="AJ48" s="20" t="s">
        <v>719</v>
      </c>
      <c r="AK48" s="12"/>
      <c r="AL48" s="12"/>
      <c r="AM48" s="12"/>
      <c r="AN48" s="12"/>
      <c r="AO48" s="12"/>
      <c r="AP48" s="12"/>
      <c r="AQ48" s="12"/>
      <c r="AR48" s="12"/>
      <c r="AS48" s="12"/>
      <c r="AT48" s="12"/>
      <c r="AU48" s="12"/>
      <c r="AV48" s="12"/>
      <c r="AW48" s="12"/>
      <c r="AX48" s="12"/>
      <c r="AY48" s="12"/>
      <c r="AZ48" s="12"/>
      <c r="BA48" s="12"/>
      <c r="BB48" s="12"/>
      <c r="BC48" s="12"/>
      <c r="BD48" s="12"/>
      <c r="BE48" s="12"/>
      <c r="BF48" s="12"/>
      <c r="BG48" s="12"/>
      <c r="BH48" s="12"/>
      <c r="BI48" s="12"/>
      <c r="BJ48" s="12"/>
      <c r="BK48" s="12"/>
      <c r="BL48" s="12"/>
      <c r="BM48" s="12"/>
      <c r="BN48" s="12"/>
      <c r="BO48" s="12"/>
      <c r="BP48" s="12"/>
      <c r="BQ48" s="12"/>
      <c r="BR48" s="12"/>
      <c r="BS48" s="12"/>
      <c r="BT48" s="12"/>
      <c r="BU48" s="12"/>
      <c r="BV48" s="12"/>
      <c r="BW48" s="67"/>
      <c r="BX48" s="67"/>
      <c r="BY48" s="67"/>
      <c r="BZ48" s="67"/>
      <c r="CA48" s="67"/>
      <c r="CB48" s="67"/>
      <c r="CC48" s="67"/>
      <c r="CD48" s="67"/>
      <c r="CE48" s="67"/>
      <c r="CF48" s="67"/>
      <c r="CG48" s="67"/>
      <c r="CH48" s="67"/>
      <c r="CI48" s="67"/>
      <c r="CJ48" s="67"/>
      <c r="CK48" s="67"/>
      <c r="CL48" s="67"/>
      <c r="CM48" s="67"/>
      <c r="CN48" s="67"/>
      <c r="CO48" s="67"/>
      <c r="CP48" s="67"/>
      <c r="CQ48" s="67"/>
      <c r="CR48" s="67"/>
      <c r="CS48" s="67"/>
      <c r="CT48" s="67"/>
      <c r="CU48" s="67"/>
      <c r="CV48" s="67"/>
      <c r="CW48" s="67"/>
      <c r="CX48" s="67"/>
      <c r="CY48" s="67"/>
      <c r="CZ48" s="67"/>
      <c r="DA48" s="67"/>
      <c r="DB48" s="67"/>
      <c r="DC48" s="67"/>
      <c r="DD48" s="67"/>
      <c r="DE48" s="67"/>
      <c r="DF48" s="67"/>
      <c r="DG48" s="67"/>
      <c r="DH48" s="67"/>
      <c r="DI48" s="67"/>
      <c r="DJ48" s="67"/>
      <c r="DK48" s="67"/>
      <c r="DL48" s="67"/>
      <c r="DM48" s="67"/>
      <c r="DN48" s="67"/>
      <c r="DO48" s="67"/>
      <c r="DP48" s="67"/>
      <c r="DQ48" s="67"/>
      <c r="DR48" s="67"/>
      <c r="DS48" s="67"/>
      <c r="DT48" s="67"/>
      <c r="DU48" s="67"/>
      <c r="DV48" s="67"/>
      <c r="DW48" s="67"/>
      <c r="DX48" s="67">
        <v>1</v>
      </c>
      <c r="DY48" s="67"/>
      <c r="DZ48" s="67"/>
      <c r="EA48" s="67"/>
      <c r="EB48" s="67"/>
      <c r="EC48" s="67"/>
      <c r="ED48" s="67"/>
      <c r="EE48" s="67"/>
      <c r="EF48" s="67"/>
      <c r="EG48" s="67"/>
      <c r="EH48" s="67">
        <v>45</v>
      </c>
      <c r="EN48" t="s">
        <v>663</v>
      </c>
    </row>
    <row r="49" spans="1:144" x14ac:dyDescent="0.2">
      <c r="A49" s="77" t="s">
        <v>1029</v>
      </c>
      <c r="B49" s="77" t="s">
        <v>941</v>
      </c>
      <c r="C49" s="77">
        <v>6</v>
      </c>
      <c r="D49" s="77">
        <v>6</v>
      </c>
      <c r="E49" s="77">
        <v>-4</v>
      </c>
      <c r="F49" s="77"/>
      <c r="G49" s="77"/>
      <c r="H49" s="77">
        <v>-8</v>
      </c>
      <c r="I49" s="77">
        <v>4</v>
      </c>
      <c r="J49" s="77">
        <v>-6</v>
      </c>
      <c r="K49" s="77"/>
      <c r="L49" s="77"/>
      <c r="M49" s="77">
        <v>50</v>
      </c>
      <c r="N49" s="77">
        <v>20</v>
      </c>
      <c r="O49" s="77">
        <v>40</v>
      </c>
      <c r="P49" s="77">
        <v>30</v>
      </c>
      <c r="Q49" s="77">
        <v>15</v>
      </c>
      <c r="R49" s="77">
        <v>18</v>
      </c>
      <c r="S49" s="77">
        <v>5</v>
      </c>
      <c r="T49" s="77">
        <v>0.5</v>
      </c>
      <c r="U49" s="77">
        <v>45</v>
      </c>
      <c r="V49" s="12">
        <f t="shared" si="1"/>
        <v>-2</v>
      </c>
      <c r="W49" s="12">
        <f>Stats!$B$4</f>
        <v>95.697167755991316</v>
      </c>
      <c r="X49" s="77" t="str">
        <f>Taulukko1[[#This Row],[Main Race]]</f>
        <v>Hobbit</v>
      </c>
      <c r="Z49" s="12" t="s">
        <v>941</v>
      </c>
      <c r="AA49" s="12">
        <v>2111</v>
      </c>
      <c r="AB49" s="12">
        <v>6543</v>
      </c>
      <c r="AC49" s="12">
        <v>2111</v>
      </c>
      <c r="AD49" s="12">
        <v>4322</v>
      </c>
      <c r="AE49" s="12">
        <v>2111</v>
      </c>
      <c r="AF49" s="12">
        <v>4322</v>
      </c>
      <c r="AG49" s="12">
        <v>3221</v>
      </c>
      <c r="AH49" s="12">
        <v>6321</v>
      </c>
      <c r="AJ49" s="12" t="s">
        <v>721</v>
      </c>
      <c r="AK49" s="12"/>
      <c r="AL49" s="12"/>
      <c r="AM49" s="12"/>
      <c r="AN49" s="12"/>
      <c r="AO49" s="12"/>
      <c r="AP49" s="12"/>
      <c r="AQ49" s="12"/>
      <c r="AR49" s="12"/>
      <c r="AS49" s="12"/>
      <c r="AT49" s="12"/>
      <c r="AU49" s="12"/>
      <c r="AV49" s="12"/>
      <c r="AW49" s="12"/>
      <c r="AX49" s="12"/>
      <c r="AY49" s="12"/>
      <c r="AZ49" s="12"/>
      <c r="BA49" s="12"/>
      <c r="BB49" s="12"/>
      <c r="BC49" s="12"/>
      <c r="BD49" s="12"/>
      <c r="BE49" s="12"/>
      <c r="BF49" s="12"/>
      <c r="BG49" s="12"/>
      <c r="BH49" s="12"/>
      <c r="BI49" s="12"/>
      <c r="BJ49" s="12"/>
      <c r="BK49" s="12"/>
      <c r="BL49" s="12"/>
      <c r="BM49" s="12"/>
      <c r="BN49" s="12"/>
      <c r="BO49" s="12"/>
      <c r="BP49" s="12"/>
      <c r="BQ49" s="12"/>
      <c r="BR49" s="12"/>
      <c r="BS49" s="12"/>
      <c r="BT49" s="12"/>
      <c r="BU49" s="12"/>
      <c r="BV49" s="12"/>
      <c r="BW49" s="67"/>
      <c r="BX49" s="67"/>
      <c r="BY49" s="67"/>
      <c r="BZ49" s="67"/>
      <c r="CA49" s="67"/>
      <c r="CB49" s="67"/>
      <c r="CC49" s="67"/>
      <c r="CD49" s="67"/>
      <c r="CE49" s="67"/>
      <c r="CF49" s="67"/>
      <c r="CG49" s="67"/>
      <c r="CH49" s="67"/>
      <c r="CI49" s="67"/>
      <c r="CJ49" s="67"/>
      <c r="CK49" s="67"/>
      <c r="CL49" s="67"/>
      <c r="CM49" s="67"/>
      <c r="CN49" s="67"/>
      <c r="CO49" s="67"/>
      <c r="CP49" s="67"/>
      <c r="CQ49" s="67"/>
      <c r="CR49" s="67"/>
      <c r="CS49" s="67"/>
      <c r="CT49" s="67"/>
      <c r="CU49" s="67"/>
      <c r="CV49" s="67"/>
      <c r="CW49" s="67"/>
      <c r="CX49" s="67"/>
      <c r="CY49" s="67"/>
      <c r="CZ49" s="67"/>
      <c r="DA49" s="67"/>
      <c r="DB49" s="67"/>
      <c r="DC49" s="67"/>
      <c r="DD49" s="67"/>
      <c r="DE49" s="67"/>
      <c r="DF49" s="67"/>
      <c r="DG49" s="67"/>
      <c r="DH49" s="67"/>
      <c r="DI49" s="67"/>
      <c r="DJ49" s="67"/>
      <c r="DK49" s="67"/>
      <c r="DL49" s="67"/>
      <c r="DM49" s="67"/>
      <c r="DN49" s="67"/>
      <c r="DO49" s="67"/>
      <c r="DP49" s="67"/>
      <c r="DQ49" s="67"/>
      <c r="DR49" s="67"/>
      <c r="DS49" s="67"/>
      <c r="DT49" s="67"/>
      <c r="DU49" s="67"/>
      <c r="DV49" s="67"/>
      <c r="DW49" s="67"/>
      <c r="DX49" s="67">
        <v>1</v>
      </c>
      <c r="DY49" s="67"/>
      <c r="DZ49" s="67"/>
      <c r="EA49" s="67"/>
      <c r="EB49" s="67"/>
      <c r="EC49" s="67"/>
      <c r="ED49" s="67"/>
      <c r="EE49" s="67"/>
      <c r="EF49" s="67"/>
      <c r="EG49" s="67"/>
      <c r="EH49" s="67">
        <v>46</v>
      </c>
      <c r="EN49" t="s">
        <v>656</v>
      </c>
    </row>
    <row r="50" spans="1:144" x14ac:dyDescent="0.2">
      <c r="A50" s="77" t="s">
        <v>881</v>
      </c>
      <c r="B50" s="77" t="s">
        <v>966</v>
      </c>
      <c r="C50" s="77">
        <v>2</v>
      </c>
      <c r="D50" s="77"/>
      <c r="E50" s="77">
        <v>2</v>
      </c>
      <c r="F50" s="77"/>
      <c r="G50" s="77"/>
      <c r="H50" s="77">
        <v>2</v>
      </c>
      <c r="I50" s="77"/>
      <c r="J50" s="77">
        <v>2</v>
      </c>
      <c r="K50" s="77"/>
      <c r="L50" s="77"/>
      <c r="M50" s="77"/>
      <c r="N50" s="77"/>
      <c r="O50" s="77"/>
      <c r="P50" s="77"/>
      <c r="Q50" s="77"/>
      <c r="R50" s="77">
        <v>11</v>
      </c>
      <c r="S50" s="77">
        <v>5</v>
      </c>
      <c r="T50" s="77">
        <v>0.9</v>
      </c>
      <c r="U50" s="77">
        <f>S50*10</f>
        <v>50</v>
      </c>
      <c r="V50" s="12">
        <f t="shared" si="1"/>
        <v>8</v>
      </c>
      <c r="W50" s="12"/>
      <c r="X50" s="77" t="str">
        <f>Taulukko1[[#This Row],[Main Race]]</f>
        <v>Eriedain</v>
      </c>
      <c r="Z50" s="12" t="s">
        <v>966</v>
      </c>
      <c r="AA50" s="12">
        <v>6543</v>
      </c>
      <c r="AB50" s="12">
        <v>6543</v>
      </c>
      <c r="AC50" s="12">
        <v>7654</v>
      </c>
      <c r="AD50" s="12">
        <v>6543</v>
      </c>
      <c r="AE50" s="12">
        <v>6543</v>
      </c>
      <c r="AF50" s="12">
        <v>6543</v>
      </c>
      <c r="AG50" s="12">
        <v>6543</v>
      </c>
      <c r="AH50" s="12">
        <v>7521</v>
      </c>
      <c r="AJ50" s="12" t="s">
        <v>1092</v>
      </c>
      <c r="AK50" s="12">
        <v>12</v>
      </c>
      <c r="AL50" s="12">
        <v>10</v>
      </c>
      <c r="AM50" s="12">
        <v>10</v>
      </c>
      <c r="AN50" s="12">
        <v>12</v>
      </c>
      <c r="AO50" s="12">
        <v>12</v>
      </c>
      <c r="AP50" s="12">
        <v>12</v>
      </c>
      <c r="AQ50" s="12">
        <v>10</v>
      </c>
      <c r="AR50" s="12">
        <v>11</v>
      </c>
      <c r="AS50" s="12">
        <v>11</v>
      </c>
      <c r="AT50" s="12">
        <v>10</v>
      </c>
      <c r="AU50" s="12">
        <v>13</v>
      </c>
      <c r="AV50" s="12">
        <v>12</v>
      </c>
      <c r="AW50" s="12">
        <v>10</v>
      </c>
      <c r="AX50" s="12">
        <v>12</v>
      </c>
      <c r="AY50" s="12">
        <v>10</v>
      </c>
      <c r="AZ50" s="12">
        <v>12</v>
      </c>
      <c r="BA50" s="12">
        <v>11</v>
      </c>
      <c r="BB50" s="12">
        <v>11</v>
      </c>
      <c r="BC50" s="12">
        <v>12</v>
      </c>
      <c r="BD50" s="12">
        <v>12</v>
      </c>
      <c r="BE50" s="12">
        <v>12</v>
      </c>
      <c r="BF50" s="12">
        <v>12</v>
      </c>
      <c r="BG50" s="12">
        <v>12</v>
      </c>
      <c r="BH50" s="12">
        <v>12</v>
      </c>
      <c r="BI50" s="12">
        <v>12</v>
      </c>
      <c r="BJ50" s="12">
        <v>12</v>
      </c>
      <c r="BK50" s="12">
        <v>12</v>
      </c>
      <c r="BL50" s="12">
        <v>12</v>
      </c>
      <c r="BM50" s="12">
        <v>12</v>
      </c>
      <c r="BN50" s="12">
        <v>12</v>
      </c>
      <c r="BO50" s="12">
        <v>12</v>
      </c>
      <c r="BP50" s="12">
        <v>12</v>
      </c>
      <c r="BQ50" s="12">
        <v>12</v>
      </c>
      <c r="BR50" s="12">
        <v>12</v>
      </c>
      <c r="BS50" s="12">
        <v>12</v>
      </c>
      <c r="BT50" s="12">
        <v>14</v>
      </c>
      <c r="BU50" s="12">
        <v>12</v>
      </c>
      <c r="BV50" s="12">
        <v>12</v>
      </c>
      <c r="BW50" s="67">
        <v>12</v>
      </c>
      <c r="BX50" s="67">
        <v>12</v>
      </c>
      <c r="BY50" s="67">
        <v>12</v>
      </c>
      <c r="BZ50" s="67">
        <v>12</v>
      </c>
      <c r="CA50" s="67">
        <v>10</v>
      </c>
      <c r="CB50" s="67">
        <v>10</v>
      </c>
      <c r="CC50" s="67">
        <v>10</v>
      </c>
      <c r="CD50" s="67">
        <v>10</v>
      </c>
      <c r="CE50" s="67">
        <v>12</v>
      </c>
      <c r="CF50" s="67">
        <v>12</v>
      </c>
      <c r="CG50" s="67">
        <v>10</v>
      </c>
      <c r="CH50" s="67">
        <v>10</v>
      </c>
      <c r="CI50" s="67">
        <v>10</v>
      </c>
      <c r="CJ50" s="67">
        <v>12</v>
      </c>
      <c r="CK50" s="67">
        <v>10</v>
      </c>
      <c r="CL50" s="67">
        <v>6</v>
      </c>
      <c r="CM50" s="67">
        <v>10</v>
      </c>
      <c r="CN50" s="67">
        <v>8</v>
      </c>
      <c r="CO50" s="67">
        <v>10</v>
      </c>
      <c r="CP50" s="67">
        <v>12</v>
      </c>
      <c r="CQ50" s="67">
        <v>12</v>
      </c>
      <c r="CR50" s="67">
        <v>12</v>
      </c>
      <c r="CS50" s="67">
        <v>12</v>
      </c>
      <c r="CT50" s="67">
        <v>12</v>
      </c>
      <c r="CU50" s="67">
        <v>12</v>
      </c>
      <c r="CV50" s="67">
        <v>12</v>
      </c>
      <c r="CW50" s="67">
        <v>12</v>
      </c>
      <c r="CX50" s="67">
        <v>12</v>
      </c>
      <c r="CY50" s="67">
        <v>12</v>
      </c>
      <c r="CZ50" s="67">
        <v>12</v>
      </c>
      <c r="DA50" s="67">
        <v>12</v>
      </c>
      <c r="DB50" s="67">
        <v>12</v>
      </c>
      <c r="DC50" s="67">
        <v>12</v>
      </c>
      <c r="DD50" s="67">
        <v>12</v>
      </c>
      <c r="DE50" s="67">
        <v>12</v>
      </c>
      <c r="DF50" s="67">
        <v>12</v>
      </c>
      <c r="DG50" s="67">
        <v>12</v>
      </c>
      <c r="DH50" s="67">
        <v>12</v>
      </c>
      <c r="DI50" s="67">
        <v>12</v>
      </c>
      <c r="DJ50" s="67">
        <v>12</v>
      </c>
      <c r="DK50" s="67">
        <v>12</v>
      </c>
      <c r="DL50" s="67">
        <v>12</v>
      </c>
      <c r="DM50" s="67">
        <v>12</v>
      </c>
      <c r="DN50" s="67">
        <v>12</v>
      </c>
      <c r="DO50" s="67">
        <v>12</v>
      </c>
      <c r="DP50" s="67">
        <v>12</v>
      </c>
      <c r="DQ50" s="67">
        <v>12</v>
      </c>
      <c r="DR50" s="67"/>
      <c r="DS50" s="67"/>
      <c r="DT50" s="67"/>
      <c r="DU50" s="67">
        <v>12</v>
      </c>
      <c r="DV50" s="67">
        <v>10</v>
      </c>
      <c r="DW50" s="67">
        <v>12</v>
      </c>
      <c r="DX50" s="67">
        <v>10</v>
      </c>
      <c r="DY50" s="67">
        <v>12</v>
      </c>
      <c r="DZ50" s="67">
        <v>8</v>
      </c>
      <c r="EA50" s="67">
        <v>8</v>
      </c>
      <c r="EB50" s="67">
        <v>8</v>
      </c>
      <c r="EC50" s="67">
        <v>6</v>
      </c>
      <c r="ED50" s="67">
        <v>8</v>
      </c>
      <c r="EE50" s="67">
        <v>8</v>
      </c>
      <c r="EF50" s="67"/>
      <c r="EG50" s="67"/>
      <c r="EH50" s="67">
        <v>47</v>
      </c>
      <c r="EN50" s="371" t="s">
        <v>5554</v>
      </c>
    </row>
    <row r="51" spans="1:144" x14ac:dyDescent="0.2">
      <c r="A51" s="77" t="s">
        <v>876</v>
      </c>
      <c r="B51" s="77" t="s">
        <v>4225</v>
      </c>
      <c r="C51" s="77">
        <v>6</v>
      </c>
      <c r="D51" s="77">
        <v>-2</v>
      </c>
      <c r="E51" s="77">
        <v>4</v>
      </c>
      <c r="F51" s="77"/>
      <c r="G51" s="77"/>
      <c r="H51" s="77">
        <v>4</v>
      </c>
      <c r="I51" s="77">
        <v>-2</v>
      </c>
      <c r="J51" s="77">
        <v>-2</v>
      </c>
      <c r="K51" s="77">
        <v>-4</v>
      </c>
      <c r="L51" s="77"/>
      <c r="M51" s="77">
        <v>20</v>
      </c>
      <c r="N51" s="77"/>
      <c r="O51" s="77">
        <v>20</v>
      </c>
      <c r="P51" s="77">
        <v>30</v>
      </c>
      <c r="Q51" s="77">
        <v>15</v>
      </c>
      <c r="R51" s="77">
        <v>1</v>
      </c>
      <c r="S51" s="77">
        <v>4</v>
      </c>
      <c r="T51" s="77">
        <v>0.5</v>
      </c>
      <c r="U51" s="77">
        <v>40</v>
      </c>
      <c r="V51" s="12">
        <f t="shared" si="1"/>
        <v>4</v>
      </c>
      <c r="W51" s="12"/>
      <c r="X51" s="77" t="str">
        <f>Taulukko1[[#This Row],[Main Race]]</f>
        <v>Dwarf</v>
      </c>
      <c r="Z51" s="12" t="s">
        <v>4225</v>
      </c>
      <c r="AA51" s="12">
        <v>3211</v>
      </c>
      <c r="AB51" s="12">
        <v>6543</v>
      </c>
      <c r="AC51" s="12">
        <v>3211</v>
      </c>
      <c r="AD51" s="12">
        <v>4322</v>
      </c>
      <c r="AE51" s="12">
        <v>2111</v>
      </c>
      <c r="AF51" s="12">
        <v>4322</v>
      </c>
      <c r="AG51" s="12">
        <v>2111</v>
      </c>
      <c r="AH51" s="12">
        <v>7532</v>
      </c>
      <c r="AJ51" s="12"/>
      <c r="AK51" s="12">
        <f t="shared" ref="AK51:BP51" si="2">SUM(AK5:AK49)</f>
        <v>56</v>
      </c>
      <c r="AL51" s="12">
        <f t="shared" si="2"/>
        <v>61</v>
      </c>
      <c r="AM51" s="12">
        <f t="shared" si="2"/>
        <v>61</v>
      </c>
      <c r="AN51" s="12">
        <f t="shared" si="2"/>
        <v>55</v>
      </c>
      <c r="AO51" s="12">
        <f t="shared" si="2"/>
        <v>50</v>
      </c>
      <c r="AP51" s="12">
        <f t="shared" si="2"/>
        <v>54</v>
      </c>
      <c r="AQ51" s="12">
        <f t="shared" si="2"/>
        <v>57</v>
      </c>
      <c r="AR51" s="12">
        <f t="shared" si="2"/>
        <v>54</v>
      </c>
      <c r="AS51" s="12">
        <f t="shared" si="2"/>
        <v>69</v>
      </c>
      <c r="AT51" s="12">
        <f t="shared" si="2"/>
        <v>69</v>
      </c>
      <c r="AU51" s="12">
        <f t="shared" si="2"/>
        <v>58</v>
      </c>
      <c r="AV51" s="12">
        <f t="shared" si="2"/>
        <v>70</v>
      </c>
      <c r="AW51" s="12">
        <f t="shared" si="2"/>
        <v>57</v>
      </c>
      <c r="AX51" s="12">
        <f t="shared" si="2"/>
        <v>61</v>
      </c>
      <c r="AY51" s="12">
        <f t="shared" si="2"/>
        <v>55</v>
      </c>
      <c r="AZ51" s="12">
        <f t="shared" si="2"/>
        <v>64</v>
      </c>
      <c r="BA51" s="12">
        <f t="shared" si="2"/>
        <v>54</v>
      </c>
      <c r="BB51" s="12">
        <f t="shared" si="2"/>
        <v>61</v>
      </c>
      <c r="BC51" s="12">
        <f t="shared" si="2"/>
        <v>56</v>
      </c>
      <c r="BD51" s="12">
        <f t="shared" si="2"/>
        <v>48</v>
      </c>
      <c r="BE51" s="12">
        <f t="shared" si="2"/>
        <v>47</v>
      </c>
      <c r="BF51" s="12">
        <f t="shared" si="2"/>
        <v>47</v>
      </c>
      <c r="BG51" s="12">
        <f t="shared" si="2"/>
        <v>42</v>
      </c>
      <c r="BH51" s="12">
        <f t="shared" si="2"/>
        <v>37</v>
      </c>
      <c r="BI51" s="12">
        <f t="shared" si="2"/>
        <v>40</v>
      </c>
      <c r="BJ51" s="12">
        <f t="shared" si="2"/>
        <v>49</v>
      </c>
      <c r="BK51" s="12">
        <f t="shared" si="2"/>
        <v>50</v>
      </c>
      <c r="BL51" s="12">
        <f t="shared" si="2"/>
        <v>47</v>
      </c>
      <c r="BM51" s="12">
        <f t="shared" si="2"/>
        <v>43</v>
      </c>
      <c r="BN51" s="12">
        <f t="shared" si="2"/>
        <v>45</v>
      </c>
      <c r="BO51" s="12">
        <f t="shared" si="2"/>
        <v>41</v>
      </c>
      <c r="BP51" s="12">
        <f t="shared" si="2"/>
        <v>45</v>
      </c>
      <c r="BQ51" s="12">
        <f t="shared" ref="BQ51:CJ51" si="3">SUM(BQ5:BQ49)</f>
        <v>43</v>
      </c>
      <c r="BR51" s="12">
        <f t="shared" si="3"/>
        <v>46</v>
      </c>
      <c r="BS51" s="12">
        <f t="shared" si="3"/>
        <v>42</v>
      </c>
      <c r="BT51" s="12">
        <f t="shared" si="3"/>
        <v>44</v>
      </c>
      <c r="BU51" s="12">
        <f t="shared" si="3"/>
        <v>45</v>
      </c>
      <c r="BV51" s="12">
        <f t="shared" si="3"/>
        <v>44</v>
      </c>
      <c r="BW51" s="67">
        <f t="shared" si="3"/>
        <v>54</v>
      </c>
      <c r="BX51" s="67">
        <f t="shared" si="3"/>
        <v>54</v>
      </c>
      <c r="BY51" s="67">
        <f t="shared" si="3"/>
        <v>46</v>
      </c>
      <c r="BZ51" s="67">
        <f t="shared" si="3"/>
        <v>44</v>
      </c>
      <c r="CA51" s="67">
        <f t="shared" si="3"/>
        <v>51</v>
      </c>
      <c r="CB51" s="67">
        <f t="shared" si="3"/>
        <v>57</v>
      </c>
      <c r="CC51" s="67">
        <f t="shared" si="3"/>
        <v>57</v>
      </c>
      <c r="CD51" s="67">
        <f t="shared" si="3"/>
        <v>52</v>
      </c>
      <c r="CE51" s="67">
        <f t="shared" si="3"/>
        <v>50</v>
      </c>
      <c r="CF51" s="67">
        <f t="shared" si="3"/>
        <v>50</v>
      </c>
      <c r="CG51" s="67">
        <f t="shared" si="3"/>
        <v>54</v>
      </c>
      <c r="CH51" s="67">
        <f t="shared" si="3"/>
        <v>54</v>
      </c>
      <c r="CI51" s="67">
        <f t="shared" si="3"/>
        <v>56</v>
      </c>
      <c r="CJ51" s="67">
        <f t="shared" si="3"/>
        <v>52</v>
      </c>
      <c r="CK51" s="67">
        <f t="shared" ref="CK51:DX51" si="4">SUM(CL5:CL49)</f>
        <v>68</v>
      </c>
      <c r="CL51" s="67">
        <f t="shared" si="4"/>
        <v>70</v>
      </c>
      <c r="CM51" s="67">
        <f t="shared" si="4"/>
        <v>68</v>
      </c>
      <c r="CN51" s="67">
        <f t="shared" si="4"/>
        <v>53</v>
      </c>
      <c r="CO51" s="67">
        <f t="shared" si="4"/>
        <v>58</v>
      </c>
      <c r="CP51" s="67">
        <f t="shared" si="4"/>
        <v>47</v>
      </c>
      <c r="CQ51" s="67">
        <f t="shared" si="4"/>
        <v>44</v>
      </c>
      <c r="CR51" s="67">
        <f t="shared" si="4"/>
        <v>49</v>
      </c>
      <c r="CS51" s="67">
        <f t="shared" si="4"/>
        <v>45</v>
      </c>
      <c r="CT51" s="67">
        <f t="shared" si="4"/>
        <v>52</v>
      </c>
      <c r="CU51" s="67">
        <f t="shared" si="4"/>
        <v>49</v>
      </c>
      <c r="CV51" s="67">
        <f t="shared" si="4"/>
        <v>49</v>
      </c>
      <c r="CW51" s="67">
        <f t="shared" si="4"/>
        <v>54</v>
      </c>
      <c r="CX51" s="67">
        <f t="shared" si="4"/>
        <v>44</v>
      </c>
      <c r="CY51" s="67">
        <f t="shared" si="4"/>
        <v>48</v>
      </c>
      <c r="CZ51" s="67">
        <f t="shared" si="4"/>
        <v>45</v>
      </c>
      <c r="DA51" s="67">
        <f t="shared" si="4"/>
        <v>59</v>
      </c>
      <c r="DB51" s="67">
        <f t="shared" si="4"/>
        <v>59</v>
      </c>
      <c r="DC51" s="67">
        <f t="shared" si="4"/>
        <v>56</v>
      </c>
      <c r="DD51" s="67">
        <f t="shared" si="4"/>
        <v>60</v>
      </c>
      <c r="DE51" s="67">
        <f t="shared" si="4"/>
        <v>60</v>
      </c>
      <c r="DF51" s="67">
        <f t="shared" si="4"/>
        <v>60</v>
      </c>
      <c r="DG51" s="67">
        <f t="shared" si="4"/>
        <v>60</v>
      </c>
      <c r="DH51" s="67">
        <f t="shared" si="4"/>
        <v>55</v>
      </c>
      <c r="DI51" s="67">
        <f t="shared" si="4"/>
        <v>52</v>
      </c>
      <c r="DJ51" s="67">
        <f t="shared" si="4"/>
        <v>44</v>
      </c>
      <c r="DK51" s="67">
        <f t="shared" si="4"/>
        <v>52</v>
      </c>
      <c r="DL51" s="67">
        <f t="shared" si="4"/>
        <v>44</v>
      </c>
      <c r="DM51" s="67">
        <f t="shared" si="4"/>
        <v>44</v>
      </c>
      <c r="DN51" s="67">
        <f t="shared" si="4"/>
        <v>44</v>
      </c>
      <c r="DO51" s="67">
        <f t="shared" si="4"/>
        <v>52</v>
      </c>
      <c r="DP51" s="67">
        <f t="shared" si="4"/>
        <v>52</v>
      </c>
      <c r="DQ51" s="67">
        <f t="shared" si="4"/>
        <v>0</v>
      </c>
      <c r="DR51" s="67">
        <f t="shared" si="4"/>
        <v>0</v>
      </c>
      <c r="DS51" s="67">
        <f t="shared" si="4"/>
        <v>0</v>
      </c>
      <c r="DT51" s="67">
        <f t="shared" si="4"/>
        <v>51</v>
      </c>
      <c r="DU51" s="67">
        <f t="shared" si="4"/>
        <v>57</v>
      </c>
      <c r="DV51" s="67">
        <f t="shared" si="4"/>
        <v>46</v>
      </c>
      <c r="DW51" s="67">
        <f t="shared" si="4"/>
        <v>57</v>
      </c>
      <c r="DX51" s="67">
        <f t="shared" si="4"/>
        <v>45</v>
      </c>
      <c r="DY51" s="67"/>
      <c r="DZ51" s="67"/>
      <c r="EA51" s="67"/>
      <c r="EB51" s="67"/>
      <c r="EC51" s="67"/>
      <c r="ED51" s="67"/>
      <c r="EE51" s="67"/>
      <c r="EF51" s="67"/>
      <c r="EN51" s="371" t="s">
        <v>532</v>
      </c>
    </row>
    <row r="52" spans="1:144" x14ac:dyDescent="0.2">
      <c r="A52" s="77" t="s">
        <v>992</v>
      </c>
      <c r="B52" s="77" t="s">
        <v>1046</v>
      </c>
      <c r="C52" s="77">
        <v>8</v>
      </c>
      <c r="D52" s="77">
        <v>-4</v>
      </c>
      <c r="E52" s="77">
        <v>-4</v>
      </c>
      <c r="F52" s="77">
        <v>-4</v>
      </c>
      <c r="G52" s="77">
        <v>-6</v>
      </c>
      <c r="H52" s="77">
        <v>8</v>
      </c>
      <c r="I52" s="77">
        <v>-4</v>
      </c>
      <c r="J52" s="77">
        <v>-4</v>
      </c>
      <c r="K52" s="77">
        <v>-4</v>
      </c>
      <c r="L52" s="77">
        <v>-6</v>
      </c>
      <c r="M52" s="77"/>
      <c r="N52" s="77"/>
      <c r="O52" s="77"/>
      <c r="P52" s="77">
        <v>30</v>
      </c>
      <c r="Q52" s="77">
        <v>10</v>
      </c>
      <c r="R52" s="77">
        <v>1</v>
      </c>
      <c r="S52" s="77">
        <v>2</v>
      </c>
      <c r="T52" s="77">
        <v>0.5</v>
      </c>
      <c r="U52" s="77">
        <f>S52*10</f>
        <v>20</v>
      </c>
      <c r="V52" s="12">
        <f t="shared" si="1"/>
        <v>-20</v>
      </c>
      <c r="W52" s="12"/>
      <c r="X52" s="77" t="str">
        <f>Taulukko1[[#This Row],[Main Race]]</f>
        <v>Troll</v>
      </c>
      <c r="Z52" s="12" t="s">
        <v>1046</v>
      </c>
      <c r="AA52" s="12">
        <v>2111</v>
      </c>
      <c r="AB52" s="12">
        <v>2111</v>
      </c>
      <c r="AC52" s="12">
        <v>2111</v>
      </c>
      <c r="AD52" s="12">
        <v>2111</v>
      </c>
      <c r="AE52" s="12">
        <v>2111</v>
      </c>
      <c r="AF52" s="12">
        <v>2111</v>
      </c>
      <c r="AG52" s="12">
        <v>2111</v>
      </c>
      <c r="AH52" s="12">
        <v>9853</v>
      </c>
      <c r="AJ52" s="12"/>
      <c r="AK52" s="12"/>
      <c r="AL52" s="12"/>
      <c r="AM52" s="12"/>
      <c r="AN52" s="12"/>
      <c r="AO52" s="12"/>
      <c r="AP52" s="12"/>
      <c r="AQ52" s="12"/>
      <c r="AR52" s="12"/>
      <c r="AS52" s="12"/>
      <c r="AT52" s="12"/>
      <c r="AU52" s="12"/>
      <c r="AV52" s="12"/>
      <c r="AW52" s="12"/>
      <c r="AX52" s="12"/>
      <c r="AY52" s="12"/>
      <c r="AZ52" s="12"/>
      <c r="BA52" s="12"/>
      <c r="BB52" s="12"/>
      <c r="BC52" s="12"/>
      <c r="BD52" s="12"/>
      <c r="BE52" s="12"/>
      <c r="BF52" s="12"/>
      <c r="BG52" s="12"/>
      <c r="BH52" s="12"/>
      <c r="BI52" s="12"/>
      <c r="BJ52" s="12"/>
      <c r="BK52" s="12"/>
      <c r="BL52" s="12"/>
      <c r="BM52" s="12"/>
      <c r="BN52" s="12"/>
      <c r="BO52" s="12"/>
      <c r="BP52" s="12"/>
      <c r="BQ52" s="12"/>
      <c r="BR52" s="12"/>
      <c r="BS52" s="12"/>
      <c r="BT52" s="12"/>
      <c r="BU52" s="12"/>
      <c r="BV52" s="12"/>
      <c r="BW52" s="67"/>
      <c r="BX52" s="67"/>
      <c r="BY52" s="67"/>
      <c r="BZ52" s="67"/>
      <c r="CA52" s="67"/>
      <c r="CB52" s="67"/>
      <c r="CC52" s="67"/>
      <c r="CD52" s="67"/>
      <c r="CE52" s="67"/>
      <c r="CF52" s="67"/>
      <c r="CG52" s="67"/>
      <c r="CH52" s="67"/>
      <c r="CI52" s="67"/>
      <c r="CJ52" s="67"/>
      <c r="CK52" s="67"/>
      <c r="CL52" s="67"/>
      <c r="CM52" s="67"/>
      <c r="CN52" s="67"/>
      <c r="CO52" s="67"/>
      <c r="CP52" s="67"/>
      <c r="CQ52" s="67"/>
      <c r="CR52" s="67"/>
      <c r="CS52" s="67"/>
      <c r="CT52" s="67"/>
      <c r="CU52" s="67"/>
      <c r="CV52" s="67"/>
      <c r="CW52" s="67"/>
      <c r="CX52" s="67"/>
      <c r="CY52" s="67"/>
      <c r="CZ52" s="67"/>
      <c r="DA52" s="67"/>
      <c r="DB52" s="67"/>
      <c r="DC52" s="67"/>
      <c r="DD52" s="67"/>
      <c r="DE52" s="67"/>
      <c r="DF52" s="67"/>
      <c r="DG52" s="67"/>
      <c r="DH52" s="67"/>
      <c r="DI52" s="67"/>
      <c r="DJ52" s="67"/>
      <c r="DK52" s="67"/>
      <c r="DL52" s="67"/>
      <c r="DM52" s="67"/>
      <c r="DN52" s="67"/>
      <c r="DO52" s="88"/>
      <c r="DP52" s="67"/>
      <c r="DQ52" s="67"/>
      <c r="DR52" s="67"/>
      <c r="DS52" s="67"/>
      <c r="DT52" s="67"/>
      <c r="DU52" s="67"/>
      <c r="DV52" s="67"/>
      <c r="DW52" s="67"/>
      <c r="DX52" s="67"/>
      <c r="DY52" s="67"/>
      <c r="DZ52" s="67"/>
      <c r="EA52" s="67"/>
      <c r="EB52" s="67"/>
      <c r="EC52" s="67"/>
      <c r="ED52" s="67"/>
      <c r="EE52" s="67"/>
      <c r="EF52" s="67"/>
      <c r="EN52" t="s">
        <v>5511</v>
      </c>
    </row>
    <row r="53" spans="1:144" x14ac:dyDescent="0.2">
      <c r="A53" s="77" t="s">
        <v>1023</v>
      </c>
      <c r="B53" s="77" t="s">
        <v>920</v>
      </c>
      <c r="C53" s="77">
        <v>2</v>
      </c>
      <c r="D53" s="77"/>
      <c r="E53" s="77"/>
      <c r="F53" s="77"/>
      <c r="G53" s="77"/>
      <c r="H53" s="77">
        <v>2</v>
      </c>
      <c r="I53" s="77"/>
      <c r="J53" s="77"/>
      <c r="K53" s="77"/>
      <c r="L53" s="77">
        <v>2</v>
      </c>
      <c r="M53" s="77"/>
      <c r="N53" s="77"/>
      <c r="O53" s="77"/>
      <c r="P53" s="77"/>
      <c r="Q53" s="77"/>
      <c r="R53" s="77">
        <v>12</v>
      </c>
      <c r="S53" s="77">
        <v>6</v>
      </c>
      <c r="T53" s="77">
        <v>1</v>
      </c>
      <c r="U53" s="77">
        <f>S53*10</f>
        <v>60</v>
      </c>
      <c r="V53" s="12">
        <f t="shared" si="1"/>
        <v>6</v>
      </c>
      <c r="W53" s="12"/>
      <c r="X53" s="77" t="str">
        <f>Taulukko1[[#This Row],[Main Race]]</f>
        <v>Arhunerim</v>
      </c>
      <c r="Z53" s="12" t="s">
        <v>920</v>
      </c>
      <c r="AA53" s="12">
        <v>6543</v>
      </c>
      <c r="AB53" s="12">
        <v>6543</v>
      </c>
      <c r="AC53" s="12">
        <v>7654</v>
      </c>
      <c r="AD53" s="12">
        <v>6543</v>
      </c>
      <c r="AE53" s="12">
        <v>6543</v>
      </c>
      <c r="AF53" s="12">
        <v>6543</v>
      </c>
      <c r="AG53" s="12">
        <v>6543</v>
      </c>
      <c r="AH53" s="12">
        <v>6421</v>
      </c>
      <c r="AJ53" s="90" t="s">
        <v>4915</v>
      </c>
      <c r="AK53" s="40" t="s">
        <v>4626</v>
      </c>
      <c r="AL53" s="40" t="s">
        <v>4627</v>
      </c>
      <c r="AM53" s="40" t="s">
        <v>4628</v>
      </c>
      <c r="AN53" s="40" t="s">
        <v>4629</v>
      </c>
      <c r="AO53" s="40" t="s">
        <v>4630</v>
      </c>
      <c r="AP53" s="40" t="s">
        <v>4631</v>
      </c>
      <c r="AQ53" s="40" t="s">
        <v>4632</v>
      </c>
      <c r="AR53" s="40" t="s">
        <v>4633</v>
      </c>
      <c r="AS53" s="40" t="s">
        <v>4634</v>
      </c>
      <c r="AT53" s="40" t="s">
        <v>4635</v>
      </c>
      <c r="AU53" s="40" t="s">
        <v>4636</v>
      </c>
      <c r="AV53" s="40" t="s">
        <v>4637</v>
      </c>
      <c r="AW53" s="40" t="s">
        <v>4638</v>
      </c>
      <c r="AX53" s="40" t="s">
        <v>4639</v>
      </c>
      <c r="AY53" s="40" t="s">
        <v>4640</v>
      </c>
      <c r="AZ53" s="40" t="s">
        <v>4641</v>
      </c>
      <c r="BA53" s="40" t="s">
        <v>4642</v>
      </c>
      <c r="BB53" s="40" t="s">
        <v>4643</v>
      </c>
      <c r="BC53" s="40" t="s">
        <v>4644</v>
      </c>
      <c r="BD53" s="40" t="s">
        <v>4645</v>
      </c>
      <c r="BE53" s="40" t="s">
        <v>4646</v>
      </c>
      <c r="BF53" s="40" t="s">
        <v>4647</v>
      </c>
      <c r="BG53" s="40" t="s">
        <v>4648</v>
      </c>
      <c r="BH53" s="40" t="s">
        <v>4663</v>
      </c>
      <c r="BI53" s="40" t="s">
        <v>4664</v>
      </c>
      <c r="BJ53" s="40" t="s">
        <v>4665</v>
      </c>
      <c r="BK53" s="40" t="s">
        <v>4666</v>
      </c>
      <c r="BL53" s="40" t="s">
        <v>4667</v>
      </c>
      <c r="BM53" s="40" t="s">
        <v>4668</v>
      </c>
      <c r="BN53" s="40" t="s">
        <v>4669</v>
      </c>
      <c r="BO53" s="40" t="s">
        <v>4670</v>
      </c>
      <c r="BP53" s="40" t="s">
        <v>4671</v>
      </c>
      <c r="BQ53" s="40" t="s">
        <v>4672</v>
      </c>
      <c r="BR53" s="40" t="s">
        <v>4673</v>
      </c>
      <c r="BS53" s="40" t="s">
        <v>4674</v>
      </c>
      <c r="BT53" s="40" t="s">
        <v>4675</v>
      </c>
      <c r="BU53" s="40" t="s">
        <v>4676</v>
      </c>
      <c r="BV53" s="40" t="s">
        <v>4677</v>
      </c>
      <c r="BW53" s="88" t="s">
        <v>4678</v>
      </c>
      <c r="BX53" s="88" t="s">
        <v>4679</v>
      </c>
      <c r="BY53" s="88" t="s">
        <v>4680</v>
      </c>
      <c r="BZ53" s="88" t="s">
        <v>4681</v>
      </c>
      <c r="CA53" s="88" t="s">
        <v>4682</v>
      </c>
      <c r="CB53" s="88" t="s">
        <v>4683</v>
      </c>
      <c r="CC53" s="88" t="s">
        <v>4684</v>
      </c>
      <c r="CD53" s="88" t="s">
        <v>4685</v>
      </c>
      <c r="CE53" s="88" t="s">
        <v>4686</v>
      </c>
      <c r="CF53" s="88" t="s">
        <v>4687</v>
      </c>
      <c r="CG53" s="88" t="s">
        <v>4688</v>
      </c>
      <c r="CH53" s="88" t="s">
        <v>4689</v>
      </c>
      <c r="CI53" s="88" t="s">
        <v>4690</v>
      </c>
      <c r="CJ53" s="88" t="s">
        <v>4691</v>
      </c>
      <c r="CK53" s="88" t="s">
        <v>5472</v>
      </c>
      <c r="CL53" s="88" t="s">
        <v>4692</v>
      </c>
      <c r="CM53" s="88" t="s">
        <v>4693</v>
      </c>
      <c r="CN53" s="88" t="s">
        <v>4694</v>
      </c>
      <c r="CO53" s="88" t="s">
        <v>4695</v>
      </c>
      <c r="CP53" s="88" t="s">
        <v>4696</v>
      </c>
      <c r="CQ53" s="88" t="s">
        <v>4697</v>
      </c>
      <c r="CR53" s="88" t="s">
        <v>4698</v>
      </c>
      <c r="CS53" s="88" t="s">
        <v>4699</v>
      </c>
      <c r="CT53" s="88" t="s">
        <v>4700</v>
      </c>
      <c r="CU53" s="88" t="s">
        <v>4701</v>
      </c>
      <c r="CV53" s="88" t="s">
        <v>4702</v>
      </c>
      <c r="CW53" s="88" t="s">
        <v>4703</v>
      </c>
      <c r="CX53" s="88" t="s">
        <v>4704</v>
      </c>
      <c r="CY53" s="88" t="s">
        <v>4705</v>
      </c>
      <c r="CZ53" s="88" t="s">
        <v>4706</v>
      </c>
      <c r="DA53" s="88" t="s">
        <v>4707</v>
      </c>
      <c r="DB53" s="88" t="s">
        <v>4708</v>
      </c>
      <c r="DC53" s="88" t="s">
        <v>4709</v>
      </c>
      <c r="DD53" s="88" t="s">
        <v>4710</v>
      </c>
      <c r="DE53" s="88" t="s">
        <v>4711</v>
      </c>
      <c r="DF53" s="88" t="s">
        <v>4712</v>
      </c>
      <c r="DG53" s="88" t="s">
        <v>4713</v>
      </c>
      <c r="DH53" s="88" t="s">
        <v>4714</v>
      </c>
      <c r="DI53" s="88" t="s">
        <v>4715</v>
      </c>
      <c r="DJ53" s="88" t="s">
        <v>4716</v>
      </c>
      <c r="DK53" s="88" t="s">
        <v>4717</v>
      </c>
      <c r="DL53" s="88" t="s">
        <v>4718</v>
      </c>
      <c r="DM53" s="88" t="s">
        <v>4719</v>
      </c>
      <c r="DN53" s="88" t="s">
        <v>4720</v>
      </c>
      <c r="DO53" s="88" t="s">
        <v>4721</v>
      </c>
      <c r="DP53" s="88" t="s">
        <v>4722</v>
      </c>
      <c r="DQ53" s="88" t="s">
        <v>4723</v>
      </c>
      <c r="DR53" s="88" t="s">
        <v>4724</v>
      </c>
      <c r="DS53" s="88" t="s">
        <v>4725</v>
      </c>
      <c r="DT53" s="88" t="s">
        <v>4726</v>
      </c>
      <c r="DU53" s="88" t="s">
        <v>4727</v>
      </c>
      <c r="DV53" s="88" t="s">
        <v>4728</v>
      </c>
      <c r="DW53" s="88" t="s">
        <v>4729</v>
      </c>
      <c r="DX53" s="88" t="s">
        <v>4730</v>
      </c>
      <c r="DY53" s="88" t="s">
        <v>4731</v>
      </c>
      <c r="DZ53" s="88" t="s">
        <v>4732</v>
      </c>
      <c r="EA53" s="88" t="s">
        <v>4733</v>
      </c>
      <c r="EB53" s="88" t="s">
        <v>4734</v>
      </c>
      <c r="EC53" s="88" t="s">
        <v>4735</v>
      </c>
      <c r="ED53" s="88" t="s">
        <v>4736</v>
      </c>
      <c r="EE53" s="88" t="s">
        <v>4737</v>
      </c>
      <c r="EF53" s="88" t="s">
        <v>4738</v>
      </c>
      <c r="EG53" s="88" t="s">
        <v>4739</v>
      </c>
      <c r="EH53" s="67" t="s">
        <v>4914</v>
      </c>
      <c r="EN53" t="s">
        <v>5553</v>
      </c>
    </row>
    <row r="54" spans="1:144" x14ac:dyDescent="0.2">
      <c r="A54" s="77" t="s">
        <v>4055</v>
      </c>
      <c r="B54" s="77" t="s">
        <v>4058</v>
      </c>
      <c r="C54" s="77">
        <v>2</v>
      </c>
      <c r="D54" s="77"/>
      <c r="E54" s="77">
        <v>2</v>
      </c>
      <c r="F54" s="77"/>
      <c r="G54" s="77"/>
      <c r="H54" s="77">
        <v>2</v>
      </c>
      <c r="I54" s="77"/>
      <c r="J54" s="77">
        <v>-2</v>
      </c>
      <c r="K54" s="77">
        <v>2</v>
      </c>
      <c r="L54" s="77"/>
      <c r="M54" s="77"/>
      <c r="N54" s="77"/>
      <c r="O54" s="77"/>
      <c r="P54" s="77"/>
      <c r="Q54" s="77"/>
      <c r="R54" s="77">
        <v>1</v>
      </c>
      <c r="S54" s="77">
        <v>6</v>
      </c>
      <c r="T54" s="77">
        <v>1</v>
      </c>
      <c r="U54" s="77">
        <v>50</v>
      </c>
      <c r="V54" s="12">
        <f t="shared" si="1"/>
        <v>6</v>
      </c>
      <c r="W54" s="12"/>
      <c r="X54" s="77" t="str">
        <f>Taulukko1[[#This Row],[Main Race]]</f>
        <v>Human</v>
      </c>
      <c r="Z54" s="12" t="s">
        <v>4058</v>
      </c>
      <c r="AA54" s="12">
        <v>6543</v>
      </c>
      <c r="AB54" s="12">
        <v>6543</v>
      </c>
      <c r="AC54" s="12">
        <v>7654</v>
      </c>
      <c r="AD54" s="12">
        <v>6543</v>
      </c>
      <c r="AE54" s="12">
        <v>6543</v>
      </c>
      <c r="AF54" s="12">
        <v>6543</v>
      </c>
      <c r="AG54" s="12">
        <v>6543</v>
      </c>
      <c r="AH54" s="12">
        <v>6421</v>
      </c>
      <c r="AJ54" s="12" t="s">
        <v>4742</v>
      </c>
      <c r="AK54" s="77" t="s">
        <v>4062</v>
      </c>
      <c r="AL54" s="77" t="s">
        <v>958</v>
      </c>
      <c r="AM54" s="77" t="s">
        <v>957</v>
      </c>
      <c r="AN54" s="77" t="s">
        <v>4226</v>
      </c>
      <c r="AO54" s="77" t="s">
        <v>4225</v>
      </c>
      <c r="AP54" s="77" t="s">
        <v>4230</v>
      </c>
      <c r="AQ54" s="77" t="s">
        <v>4050</v>
      </c>
      <c r="AR54" s="77" t="s">
        <v>880</v>
      </c>
      <c r="AS54" s="77" t="s">
        <v>4041</v>
      </c>
      <c r="AT54" s="77" t="s">
        <v>4040</v>
      </c>
      <c r="AU54" s="77" t="s">
        <v>4049</v>
      </c>
      <c r="AV54" s="77" t="s">
        <v>4042</v>
      </c>
      <c r="AW54" s="77" t="s">
        <v>4052</v>
      </c>
      <c r="AX54" s="77" t="s">
        <v>4215</v>
      </c>
      <c r="AY54" s="77" t="s">
        <v>4054</v>
      </c>
      <c r="AZ54" s="77" t="s">
        <v>4227</v>
      </c>
      <c r="BA54" s="77" t="s">
        <v>4259</v>
      </c>
      <c r="BB54" s="77" t="s">
        <v>4237</v>
      </c>
      <c r="BC54" s="77" t="s">
        <v>4136</v>
      </c>
      <c r="BD54" s="77" t="s">
        <v>4064</v>
      </c>
      <c r="BE54" s="77" t="s">
        <v>4056</v>
      </c>
      <c r="BF54" s="77" t="s">
        <v>4057</v>
      </c>
      <c r="BG54" s="77" t="s">
        <v>4063</v>
      </c>
      <c r="BH54" s="77" t="s">
        <v>4065</v>
      </c>
      <c r="BI54" s="77" t="s">
        <v>4066</v>
      </c>
      <c r="BJ54" s="77" t="s">
        <v>4067</v>
      </c>
      <c r="BK54" s="77" t="s">
        <v>4058</v>
      </c>
      <c r="BL54" s="77" t="s">
        <v>4254</v>
      </c>
      <c r="BM54" s="77" t="s">
        <v>4059</v>
      </c>
      <c r="BN54" s="77" t="s">
        <v>4068</v>
      </c>
      <c r="BO54" s="77" t="s">
        <v>4060</v>
      </c>
      <c r="BP54" s="77" t="s">
        <v>4069</v>
      </c>
      <c r="BQ54" s="77" t="s">
        <v>4061</v>
      </c>
      <c r="BR54" s="77" t="s">
        <v>4070</v>
      </c>
      <c r="BS54" s="77" t="s">
        <v>4243</v>
      </c>
      <c r="BT54" s="77" t="s">
        <v>4071</v>
      </c>
      <c r="BU54" s="77" t="s">
        <v>894</v>
      </c>
      <c r="BV54" s="77" t="s">
        <v>1038</v>
      </c>
      <c r="BW54" s="67" t="s">
        <v>919</v>
      </c>
      <c r="BX54" s="67" t="s">
        <v>920</v>
      </c>
      <c r="BY54" s="86" t="s">
        <v>921</v>
      </c>
      <c r="BZ54" s="67" t="s">
        <v>922</v>
      </c>
      <c r="CA54" s="67" t="s">
        <v>923</v>
      </c>
      <c r="CB54" s="86" t="s">
        <v>924</v>
      </c>
      <c r="CC54" s="86" t="s">
        <v>925</v>
      </c>
      <c r="CD54" s="86" t="s">
        <v>926</v>
      </c>
      <c r="CE54" s="86" t="s">
        <v>927</v>
      </c>
      <c r="CF54" s="86" t="s">
        <v>875</v>
      </c>
      <c r="CG54" s="67" t="s">
        <v>918</v>
      </c>
      <c r="CH54" s="67" t="s">
        <v>928</v>
      </c>
      <c r="CI54" s="67" t="s">
        <v>929</v>
      </c>
      <c r="CJ54" s="86" t="s">
        <v>876</v>
      </c>
      <c r="CK54" s="86" t="s">
        <v>5474</v>
      </c>
      <c r="CL54" s="86" t="s">
        <v>877</v>
      </c>
      <c r="CM54" s="86" t="s">
        <v>878</v>
      </c>
      <c r="CN54" s="86" t="s">
        <v>879</v>
      </c>
      <c r="CO54" s="86" t="s">
        <v>880</v>
      </c>
      <c r="CP54" s="86" t="s">
        <v>930</v>
      </c>
      <c r="CQ54" s="86" t="s">
        <v>177</v>
      </c>
      <c r="CR54" s="86" t="s">
        <v>931</v>
      </c>
      <c r="CS54" s="86" t="s">
        <v>932</v>
      </c>
      <c r="CT54" s="86" t="s">
        <v>933</v>
      </c>
      <c r="CU54" s="86" t="s">
        <v>934</v>
      </c>
      <c r="CV54" s="86" t="s">
        <v>935</v>
      </c>
      <c r="CW54" s="86" t="s">
        <v>936</v>
      </c>
      <c r="CX54" s="86" t="s">
        <v>937</v>
      </c>
      <c r="CY54" s="67" t="s">
        <v>938</v>
      </c>
      <c r="CZ54" s="86" t="s">
        <v>939</v>
      </c>
      <c r="DA54" s="86" t="s">
        <v>940</v>
      </c>
      <c r="DB54" s="86" t="s">
        <v>941</v>
      </c>
      <c r="DC54" s="86" t="s">
        <v>942</v>
      </c>
      <c r="DD54" s="86" t="s">
        <v>943</v>
      </c>
      <c r="DE54" s="86" t="s">
        <v>887</v>
      </c>
      <c r="DF54" s="86" t="s">
        <v>944</v>
      </c>
      <c r="DG54" s="86" t="s">
        <v>945</v>
      </c>
      <c r="DH54" s="86" t="s">
        <v>946</v>
      </c>
      <c r="DI54" s="86" t="s">
        <v>947</v>
      </c>
      <c r="DJ54" s="86" t="s">
        <v>948</v>
      </c>
      <c r="DK54" s="86" t="s">
        <v>949</v>
      </c>
      <c r="DL54" s="86" t="s">
        <v>950</v>
      </c>
      <c r="DM54" s="67" t="s">
        <v>951</v>
      </c>
      <c r="DN54" s="86" t="s">
        <v>952</v>
      </c>
      <c r="DO54" s="86" t="s">
        <v>953</v>
      </c>
      <c r="DP54" s="86" t="s">
        <v>954</v>
      </c>
      <c r="DQ54" s="86" t="s">
        <v>955</v>
      </c>
      <c r="DR54" s="86" t="s">
        <v>889</v>
      </c>
      <c r="DS54" s="86" t="s">
        <v>890</v>
      </c>
      <c r="DT54" s="86" t="s">
        <v>891</v>
      </c>
      <c r="DU54" s="86" t="s">
        <v>892</v>
      </c>
      <c r="DV54" s="86" t="s">
        <v>956</v>
      </c>
      <c r="DW54" s="88" t="s">
        <v>4746</v>
      </c>
      <c r="DX54" s="86" t="s">
        <v>895</v>
      </c>
      <c r="DY54" s="86" t="s">
        <v>896</v>
      </c>
      <c r="DZ54" s="67" t="s">
        <v>959</v>
      </c>
      <c r="EA54" s="67" t="s">
        <v>960</v>
      </c>
      <c r="EB54" s="77" t="s">
        <v>1039</v>
      </c>
      <c r="EC54" s="67" t="s">
        <v>962</v>
      </c>
      <c r="ED54" s="67" t="s">
        <v>963</v>
      </c>
      <c r="EE54" s="67" t="s">
        <v>964</v>
      </c>
      <c r="EF54" s="67" t="s">
        <v>965</v>
      </c>
      <c r="EG54" s="67" t="s">
        <v>966</v>
      </c>
      <c r="EH54" s="67"/>
      <c r="EN54" s="370" t="s">
        <v>468</v>
      </c>
    </row>
    <row r="55" spans="1:144" x14ac:dyDescent="0.2">
      <c r="A55" s="77" t="s">
        <v>1056</v>
      </c>
      <c r="B55" s="77" t="s">
        <v>945</v>
      </c>
      <c r="C55" s="77">
        <v>2</v>
      </c>
      <c r="D55" s="77"/>
      <c r="E55" s="77">
        <v>2</v>
      </c>
      <c r="F55" s="77"/>
      <c r="G55" s="77"/>
      <c r="H55" s="77">
        <v>2</v>
      </c>
      <c r="I55" s="77"/>
      <c r="J55" s="77">
        <v>-2</v>
      </c>
      <c r="K55" s="77"/>
      <c r="L55" s="77"/>
      <c r="M55" s="77"/>
      <c r="N55" s="77"/>
      <c r="O55" s="77"/>
      <c r="P55" s="77"/>
      <c r="Q55" s="77">
        <v>5</v>
      </c>
      <c r="R55" s="77">
        <v>12</v>
      </c>
      <c r="S55" s="77">
        <v>6</v>
      </c>
      <c r="T55" s="77">
        <v>1</v>
      </c>
      <c r="U55" s="77">
        <v>45</v>
      </c>
      <c r="V55" s="12">
        <f t="shared" si="1"/>
        <v>4</v>
      </c>
      <c r="W55" s="12"/>
      <c r="X55" s="77" t="str">
        <f>Taulukko1[[#This Row],[Main Race]]</f>
        <v>Arctic Men</v>
      </c>
      <c r="Z55" s="12" t="s">
        <v>945</v>
      </c>
      <c r="AA55" s="12">
        <v>6543</v>
      </c>
      <c r="AB55" s="12">
        <v>6543</v>
      </c>
      <c r="AC55" s="12">
        <v>7654</v>
      </c>
      <c r="AD55" s="12">
        <v>6543</v>
      </c>
      <c r="AE55" s="12">
        <v>6543</v>
      </c>
      <c r="AF55" s="12">
        <v>6543</v>
      </c>
      <c r="AG55" s="12">
        <v>6543</v>
      </c>
      <c r="AH55" s="12">
        <v>6521</v>
      </c>
      <c r="AJ55" s="12"/>
      <c r="AK55" s="12"/>
      <c r="AL55" s="67" t="s">
        <v>3956</v>
      </c>
      <c r="AM55" s="67" t="s">
        <v>3956</v>
      </c>
      <c r="AN55" s="12" t="s">
        <v>467</v>
      </c>
      <c r="AO55" s="12"/>
      <c r="AP55" s="12"/>
      <c r="AQ55" s="12" t="s">
        <v>433</v>
      </c>
      <c r="AR55" s="12"/>
      <c r="AS55" s="12"/>
      <c r="AT55" s="12"/>
      <c r="AU55" s="12" t="s">
        <v>4194</v>
      </c>
      <c r="AV55" s="12"/>
      <c r="AW55" s="12" t="s">
        <v>590</v>
      </c>
      <c r="AX55" s="12" t="s">
        <v>658</v>
      </c>
      <c r="AY55" s="12"/>
      <c r="AZ55" s="12"/>
      <c r="BA55" s="12"/>
      <c r="BB55" s="12"/>
      <c r="BC55" s="12" t="s">
        <v>246</v>
      </c>
      <c r="BD55" s="12" t="s">
        <v>491</v>
      </c>
      <c r="BE55" s="12"/>
      <c r="BF55" s="12"/>
      <c r="BG55" s="12" t="s">
        <v>590</v>
      </c>
      <c r="BH55" s="12" t="s">
        <v>4153</v>
      </c>
      <c r="BI55" s="12" t="s">
        <v>1107</v>
      </c>
      <c r="BJ55" s="12" t="s">
        <v>1667</v>
      </c>
      <c r="BK55" s="12" t="s">
        <v>517</v>
      </c>
      <c r="BL55" s="12" t="s">
        <v>1304</v>
      </c>
      <c r="BM55" s="12" t="s">
        <v>1261</v>
      </c>
      <c r="BN55" s="12" t="s">
        <v>4157</v>
      </c>
      <c r="BO55" s="12"/>
      <c r="BP55" s="12" t="s">
        <v>1107</v>
      </c>
      <c r="BQ55" s="12"/>
      <c r="BR55" s="12" t="s">
        <v>1119</v>
      </c>
      <c r="BS55" s="12" t="s">
        <v>521</v>
      </c>
      <c r="BT55" s="12" t="s">
        <v>1100</v>
      </c>
      <c r="BU55" s="12" t="s">
        <v>417</v>
      </c>
      <c r="BV55" s="12"/>
      <c r="BW55" s="67" t="s">
        <v>442</v>
      </c>
      <c r="BX55" s="67" t="s">
        <v>442</v>
      </c>
      <c r="BY55" s="67" t="s">
        <v>246</v>
      </c>
      <c r="BZ55" s="67" t="s">
        <v>1100</v>
      </c>
      <c r="CA55" s="67" t="s">
        <v>1100</v>
      </c>
      <c r="CB55" s="67" t="s">
        <v>246</v>
      </c>
      <c r="CC55" s="67" t="s">
        <v>246</v>
      </c>
      <c r="CD55" s="67" t="s">
        <v>246</v>
      </c>
      <c r="CE55" s="67" t="s">
        <v>517</v>
      </c>
      <c r="CF55" s="67" t="s">
        <v>517</v>
      </c>
      <c r="CG55" s="67" t="s">
        <v>246</v>
      </c>
      <c r="CH55" s="67" t="s">
        <v>246</v>
      </c>
      <c r="CI55" s="67" t="s">
        <v>246</v>
      </c>
      <c r="CJ55" s="67" t="s">
        <v>590</v>
      </c>
      <c r="CK55" s="67" t="s">
        <v>453</v>
      </c>
      <c r="CL55" s="67" t="s">
        <v>1101</v>
      </c>
      <c r="CM55" s="67" t="s">
        <v>408</v>
      </c>
      <c r="CN55" s="67" t="s">
        <v>610</v>
      </c>
      <c r="CO55" s="67" t="s">
        <v>246</v>
      </c>
      <c r="CP55" s="67" t="s">
        <v>491</v>
      </c>
      <c r="CQ55" s="67" t="s">
        <v>1102</v>
      </c>
      <c r="CR55" s="67" t="s">
        <v>1103</v>
      </c>
      <c r="CS55" s="67" t="s">
        <v>1104</v>
      </c>
      <c r="CT55" s="67" t="s">
        <v>246</v>
      </c>
      <c r="CU55" s="67" t="s">
        <v>433</v>
      </c>
      <c r="CV55" s="67" t="s">
        <v>246</v>
      </c>
      <c r="CW55" s="67" t="s">
        <v>433</v>
      </c>
      <c r="CX55" s="67" t="s">
        <v>439</v>
      </c>
      <c r="CY55" s="67" t="s">
        <v>246</v>
      </c>
      <c r="CZ55" s="67" t="s">
        <v>246</v>
      </c>
      <c r="DA55" s="67" t="s">
        <v>246</v>
      </c>
      <c r="DB55" s="67" t="s">
        <v>1105</v>
      </c>
      <c r="DC55" s="67" t="s">
        <v>1105</v>
      </c>
      <c r="DD55" s="67" t="s">
        <v>1105</v>
      </c>
      <c r="DE55" s="67" t="s">
        <v>521</v>
      </c>
      <c r="DF55" s="67" t="s">
        <v>521</v>
      </c>
      <c r="DG55" s="67" t="s">
        <v>521</v>
      </c>
      <c r="DH55" s="67" t="s">
        <v>521</v>
      </c>
      <c r="DI55" s="67" t="s">
        <v>491</v>
      </c>
      <c r="DJ55" s="67" t="s">
        <v>491</v>
      </c>
      <c r="DK55" s="67" t="s">
        <v>491</v>
      </c>
      <c r="DL55" s="67" t="s">
        <v>491</v>
      </c>
      <c r="DM55" s="67" t="s">
        <v>491</v>
      </c>
      <c r="DN55" s="67" t="s">
        <v>491</v>
      </c>
      <c r="DO55" s="67" t="s">
        <v>491</v>
      </c>
      <c r="DP55" s="67" t="s">
        <v>491</v>
      </c>
      <c r="DQ55" s="67" t="s">
        <v>491</v>
      </c>
      <c r="DR55" s="67"/>
      <c r="DS55" s="67"/>
      <c r="DT55" s="67"/>
      <c r="DU55" s="67" t="s">
        <v>1104</v>
      </c>
      <c r="DV55" s="67" t="s">
        <v>1106</v>
      </c>
      <c r="DW55" s="67" t="s">
        <v>417</v>
      </c>
      <c r="DX55" s="67" t="s">
        <v>1123</v>
      </c>
      <c r="DY55" s="67"/>
      <c r="DZ55" s="67" t="s">
        <v>5500</v>
      </c>
      <c r="EA55" s="67" t="s">
        <v>5500</v>
      </c>
      <c r="EB55" s="67" t="s">
        <v>246</v>
      </c>
      <c r="EC55" s="67" t="s">
        <v>5549</v>
      </c>
      <c r="ED55" s="67" t="s">
        <v>5523</v>
      </c>
      <c r="EE55" s="67" t="s">
        <v>5522</v>
      </c>
      <c r="EF55" s="67"/>
      <c r="EG55" s="67"/>
      <c r="EH55" s="67">
        <v>2</v>
      </c>
      <c r="EN55" s="371" t="s">
        <v>505</v>
      </c>
    </row>
    <row r="56" spans="1:144" x14ac:dyDescent="0.2">
      <c r="A56" s="77" t="s">
        <v>1005</v>
      </c>
      <c r="B56" s="77" t="s">
        <v>965</v>
      </c>
      <c r="C56" s="77"/>
      <c r="D56" s="77"/>
      <c r="E56" s="77">
        <v>2</v>
      </c>
      <c r="F56" s="77"/>
      <c r="G56" s="77"/>
      <c r="H56" s="77">
        <v>2</v>
      </c>
      <c r="I56" s="77"/>
      <c r="J56" s="77"/>
      <c r="K56" s="77"/>
      <c r="L56" s="77"/>
      <c r="M56" s="77"/>
      <c r="N56" s="77"/>
      <c r="O56" s="77"/>
      <c r="P56" s="77"/>
      <c r="Q56" s="77"/>
      <c r="R56" s="77">
        <v>12</v>
      </c>
      <c r="S56" s="77">
        <v>6</v>
      </c>
      <c r="T56" s="77">
        <v>1</v>
      </c>
      <c r="U56" s="77">
        <f>S56*10</f>
        <v>60</v>
      </c>
      <c r="V56" s="12">
        <f t="shared" si="1"/>
        <v>4</v>
      </c>
      <c r="W56" s="12"/>
      <c r="X56" s="77" t="str">
        <f>Taulukko1[[#This Row],[Main Race]]</f>
        <v>Common Men</v>
      </c>
      <c r="Z56" s="12" t="s">
        <v>965</v>
      </c>
      <c r="AA56" s="12">
        <v>6543</v>
      </c>
      <c r="AB56" s="12">
        <v>6543</v>
      </c>
      <c r="AC56" s="12">
        <v>7654</v>
      </c>
      <c r="AD56" s="12">
        <v>6543</v>
      </c>
      <c r="AE56" s="12">
        <v>6543</v>
      </c>
      <c r="AF56" s="12">
        <v>6543</v>
      </c>
      <c r="AG56" s="12">
        <v>6543</v>
      </c>
      <c r="AH56" s="12">
        <v>7521</v>
      </c>
      <c r="AJ56" s="12"/>
      <c r="AK56" s="12"/>
      <c r="AL56" s="67" t="s">
        <v>3957</v>
      </c>
      <c r="AM56" s="67" t="s">
        <v>531</v>
      </c>
      <c r="AN56" s="12"/>
      <c r="AO56" s="12"/>
      <c r="AP56" s="12"/>
      <c r="AQ56" s="12" t="s">
        <v>4169</v>
      </c>
      <c r="AR56" s="12"/>
      <c r="AS56" s="12"/>
      <c r="AT56" s="12"/>
      <c r="AU56" s="12"/>
      <c r="AV56" s="12"/>
      <c r="AW56" s="12"/>
      <c r="AX56" s="12" t="s">
        <v>656</v>
      </c>
      <c r="AY56" s="12"/>
      <c r="AZ56" s="12"/>
      <c r="BA56" s="12"/>
      <c r="BB56" s="12"/>
      <c r="BC56" s="12"/>
      <c r="BD56" s="12" t="s">
        <v>1110</v>
      </c>
      <c r="BE56" s="12"/>
      <c r="BF56" s="12"/>
      <c r="BG56" s="12" t="s">
        <v>1104</v>
      </c>
      <c r="BH56" s="12" t="s">
        <v>1104</v>
      </c>
      <c r="BI56" s="12" t="s">
        <v>512</v>
      </c>
      <c r="BJ56" s="12" t="s">
        <v>552</v>
      </c>
      <c r="BK56" s="12" t="s">
        <v>429</v>
      </c>
      <c r="BL56" s="12" t="s">
        <v>4148</v>
      </c>
      <c r="BM56" s="12"/>
      <c r="BN56" s="12" t="s">
        <v>491</v>
      </c>
      <c r="BO56" s="12"/>
      <c r="BP56" s="12" t="s">
        <v>1119</v>
      </c>
      <c r="BQ56" s="12"/>
      <c r="BR56" s="12" t="s">
        <v>439</v>
      </c>
      <c r="BS56" s="12" t="s">
        <v>1112</v>
      </c>
      <c r="BT56" s="12"/>
      <c r="BU56" s="12" t="s">
        <v>1114</v>
      </c>
      <c r="BV56" s="12"/>
      <c r="BW56" s="67" t="s">
        <v>1107</v>
      </c>
      <c r="BX56" s="67" t="s">
        <v>1107</v>
      </c>
      <c r="BY56" s="67"/>
      <c r="BZ56" s="67"/>
      <c r="CA56" s="67"/>
      <c r="CB56" s="67"/>
      <c r="CC56" s="67"/>
      <c r="CD56" s="67"/>
      <c r="CE56" s="67" t="s">
        <v>666</v>
      </c>
      <c r="CF56" s="67" t="s">
        <v>429</v>
      </c>
      <c r="CG56" s="67"/>
      <c r="CH56" s="67"/>
      <c r="CI56" s="67"/>
      <c r="CJ56" s="67" t="s">
        <v>1108</v>
      </c>
      <c r="CK56" s="67" t="s">
        <v>597</v>
      </c>
      <c r="CL56" s="67"/>
      <c r="CM56" s="67" t="s">
        <v>1109</v>
      </c>
      <c r="CN56" s="67" t="s">
        <v>534</v>
      </c>
      <c r="CO56" s="67"/>
      <c r="CP56" s="67" t="s">
        <v>1110</v>
      </c>
      <c r="CQ56" s="67"/>
      <c r="CR56" s="67"/>
      <c r="CS56" s="67"/>
      <c r="CT56" s="67"/>
      <c r="CU56" s="67"/>
      <c r="CV56" s="67"/>
      <c r="CW56" s="67"/>
      <c r="CX56" s="67" t="s">
        <v>1104</v>
      </c>
      <c r="CY56" s="67"/>
      <c r="CZ56" s="67"/>
      <c r="DA56" s="67"/>
      <c r="DB56" s="67" t="s">
        <v>1111</v>
      </c>
      <c r="DC56" s="67" t="s">
        <v>1111</v>
      </c>
      <c r="DD56" s="67" t="s">
        <v>1111</v>
      </c>
      <c r="DE56" s="67" t="s">
        <v>1112</v>
      </c>
      <c r="DF56" s="67" t="s">
        <v>1112</v>
      </c>
      <c r="DG56" s="67" t="s">
        <v>1112</v>
      </c>
      <c r="DH56" s="67" t="s">
        <v>1112</v>
      </c>
      <c r="DI56" s="67" t="s">
        <v>1110</v>
      </c>
      <c r="DJ56" s="67" t="s">
        <v>1110</v>
      </c>
      <c r="DK56" s="67" t="s">
        <v>1110</v>
      </c>
      <c r="DL56" s="67" t="s">
        <v>1113</v>
      </c>
      <c r="DM56" s="67" t="s">
        <v>1110</v>
      </c>
      <c r="DN56" s="67" t="s">
        <v>1110</v>
      </c>
      <c r="DO56" s="67" t="s">
        <v>1110</v>
      </c>
      <c r="DP56" s="67" t="s">
        <v>1110</v>
      </c>
      <c r="DQ56" s="67" t="s">
        <v>1110</v>
      </c>
      <c r="DR56" s="67"/>
      <c r="DS56" s="67"/>
      <c r="DT56" s="67"/>
      <c r="DU56" s="67" t="s">
        <v>472</v>
      </c>
      <c r="DV56" s="67" t="s">
        <v>541</v>
      </c>
      <c r="DW56" s="67" t="s">
        <v>1114</v>
      </c>
      <c r="DX56" s="67"/>
      <c r="DY56" s="67"/>
      <c r="DZ56" s="67" t="s">
        <v>5501</v>
      </c>
      <c r="EA56" s="67"/>
      <c r="EB56" s="67"/>
      <c r="EC56" s="67"/>
      <c r="ED56" s="67" t="s">
        <v>5522</v>
      </c>
      <c r="EE56" s="67"/>
      <c r="EF56" s="67"/>
      <c r="EG56" s="67"/>
      <c r="EH56" s="67">
        <v>3</v>
      </c>
      <c r="EN56" s="371" t="s">
        <v>658</v>
      </c>
    </row>
    <row r="57" spans="1:144" x14ac:dyDescent="0.2">
      <c r="A57" s="77" t="s">
        <v>888</v>
      </c>
      <c r="B57" s="77" t="s">
        <v>954</v>
      </c>
      <c r="C57" s="77"/>
      <c r="D57" s="77"/>
      <c r="E57" s="77">
        <v>2</v>
      </c>
      <c r="F57" s="77"/>
      <c r="G57" s="77"/>
      <c r="H57" s="77">
        <v>2</v>
      </c>
      <c r="I57" s="77"/>
      <c r="J57" s="77">
        <v>-2</v>
      </c>
      <c r="K57" s="77">
        <v>2</v>
      </c>
      <c r="L57" s="77"/>
      <c r="M57" s="77"/>
      <c r="N57" s="77"/>
      <c r="O57" s="77"/>
      <c r="P57" s="77"/>
      <c r="Q57" s="77"/>
      <c r="R57" s="77">
        <v>12</v>
      </c>
      <c r="S57" s="77">
        <v>6</v>
      </c>
      <c r="T57" s="77">
        <v>1</v>
      </c>
      <c r="U57" s="77">
        <v>50</v>
      </c>
      <c r="V57" s="12">
        <f t="shared" si="1"/>
        <v>4</v>
      </c>
      <c r="W57" s="12"/>
      <c r="X57" s="77" t="str">
        <f>Taulukko1[[#This Row],[Main Race]]</f>
        <v>Talatherim</v>
      </c>
      <c r="Z57" s="12" t="s">
        <v>5474</v>
      </c>
      <c r="AA57" s="12">
        <v>7654</v>
      </c>
      <c r="AB57" s="12">
        <v>6543</v>
      </c>
      <c r="AC57" s="12">
        <v>6543</v>
      </c>
      <c r="AD57" s="12">
        <v>6543</v>
      </c>
      <c r="AE57" s="12">
        <v>6543</v>
      </c>
      <c r="AF57" s="12">
        <v>6543</v>
      </c>
      <c r="AG57" s="12">
        <v>6543</v>
      </c>
      <c r="AH57" s="12">
        <v>7321</v>
      </c>
      <c r="AJ57" s="12"/>
      <c r="AK57" s="12"/>
      <c r="AL57" s="67" t="s">
        <v>3958</v>
      </c>
      <c r="AM57" s="67" t="s">
        <v>535</v>
      </c>
      <c r="AN57" s="12"/>
      <c r="AO57" s="12"/>
      <c r="AP57" s="12"/>
      <c r="AQ57" s="12" t="s">
        <v>408</v>
      </c>
      <c r="AR57" s="12"/>
      <c r="AS57" s="12"/>
      <c r="AT57" s="12"/>
      <c r="AU57" s="12"/>
      <c r="AV57" s="12"/>
      <c r="AW57" s="12"/>
      <c r="AX57" s="12" t="s">
        <v>4188</v>
      </c>
      <c r="AY57" s="12"/>
      <c r="AZ57" s="12"/>
      <c r="BA57" s="12"/>
      <c r="BB57" s="12"/>
      <c r="BC57" s="12"/>
      <c r="BD57" s="12"/>
      <c r="BE57" s="12"/>
      <c r="BF57" s="12"/>
      <c r="BG57" s="12"/>
      <c r="BH57" s="12" t="s">
        <v>536</v>
      </c>
      <c r="BI57" s="12" t="s">
        <v>1119</v>
      </c>
      <c r="BJ57" s="12"/>
      <c r="BK57" s="12" t="s">
        <v>666</v>
      </c>
      <c r="BL57" s="12"/>
      <c r="BM57" s="12"/>
      <c r="BN57" s="12" t="s">
        <v>1110</v>
      </c>
      <c r="BO57" s="12"/>
      <c r="BP57" s="12"/>
      <c r="BQ57" s="12"/>
      <c r="BR57" s="12" t="s">
        <v>4163</v>
      </c>
      <c r="BS57" s="12" t="s">
        <v>1104</v>
      </c>
      <c r="BT57" s="12"/>
      <c r="BU57" s="12" t="s">
        <v>1118</v>
      </c>
      <c r="BV57" s="12"/>
      <c r="BW57" s="67" t="s">
        <v>512</v>
      </c>
      <c r="BX57" s="67" t="s">
        <v>512</v>
      </c>
      <c r="BY57" s="67"/>
      <c r="BZ57" s="67"/>
      <c r="CA57" s="67"/>
      <c r="CB57" s="67"/>
      <c r="CC57" s="67"/>
      <c r="CD57" s="67"/>
      <c r="CE57" s="67" t="s">
        <v>536</v>
      </c>
      <c r="CF57" s="67" t="s">
        <v>666</v>
      </c>
      <c r="CG57" s="67"/>
      <c r="CH57" s="67"/>
      <c r="CI57" s="67"/>
      <c r="CJ57" s="67" t="s">
        <v>1115</v>
      </c>
      <c r="CK57" s="67"/>
      <c r="CL57" s="67"/>
      <c r="CM57" s="67" t="s">
        <v>659</v>
      </c>
      <c r="CN57" s="67" t="s">
        <v>666</v>
      </c>
      <c r="CO57" s="67"/>
      <c r="CP57" s="67"/>
      <c r="CQ57" s="67"/>
      <c r="CR57" s="67"/>
      <c r="CS57" s="67"/>
      <c r="CT57" s="67"/>
      <c r="CU57" s="67"/>
      <c r="CV57" s="67"/>
      <c r="CW57" s="67"/>
      <c r="CX57" s="67" t="s">
        <v>656</v>
      </c>
      <c r="CY57" s="67"/>
      <c r="CZ57" s="67"/>
      <c r="DA57" s="67"/>
      <c r="DB57" s="67" t="s">
        <v>512</v>
      </c>
      <c r="DC57" s="67" t="s">
        <v>512</v>
      </c>
      <c r="DD57" s="67" t="s">
        <v>512</v>
      </c>
      <c r="DE57" s="67" t="s">
        <v>1104</v>
      </c>
      <c r="DF57" s="67" t="s">
        <v>1104</v>
      </c>
      <c r="DG57" s="67" t="s">
        <v>1104</v>
      </c>
      <c r="DH57" s="67" t="s">
        <v>1104</v>
      </c>
      <c r="DI57" s="67"/>
      <c r="DJ57" s="67"/>
      <c r="DK57" s="67"/>
      <c r="DL57" s="67"/>
      <c r="DM57" s="67"/>
      <c r="DN57" s="67"/>
      <c r="DO57" s="67"/>
      <c r="DP57" s="67"/>
      <c r="DQ57" s="67"/>
      <c r="DR57" s="67"/>
      <c r="DS57" s="67"/>
      <c r="DT57" s="67"/>
      <c r="DU57" s="67" t="s">
        <v>1116</v>
      </c>
      <c r="DV57" s="67" t="s">
        <v>1117</v>
      </c>
      <c r="DW57" s="67" t="s">
        <v>1118</v>
      </c>
      <c r="DX57" s="67"/>
      <c r="DY57" s="67"/>
      <c r="DZ57" s="67" t="s">
        <v>5502</v>
      </c>
      <c r="EA57" s="67"/>
      <c r="EB57" s="67"/>
      <c r="EC57" s="67"/>
      <c r="ED57" s="67"/>
      <c r="EE57" s="67"/>
      <c r="EF57" s="67"/>
      <c r="EG57" s="67"/>
      <c r="EH57" s="67">
        <v>4</v>
      </c>
      <c r="EN57" s="371" t="s">
        <v>1321</v>
      </c>
    </row>
    <row r="58" spans="1:144" x14ac:dyDescent="0.2">
      <c r="A58" s="77" t="s">
        <v>1005</v>
      </c>
      <c r="B58" s="77" t="s">
        <v>934</v>
      </c>
      <c r="C58" s="77"/>
      <c r="D58" s="77"/>
      <c r="E58" s="77">
        <v>2</v>
      </c>
      <c r="F58" s="77"/>
      <c r="G58" s="77"/>
      <c r="H58" s="77">
        <v>2</v>
      </c>
      <c r="I58" s="77"/>
      <c r="J58" s="77"/>
      <c r="K58" s="77"/>
      <c r="L58" s="77"/>
      <c r="M58" s="77"/>
      <c r="N58" s="77"/>
      <c r="O58" s="77"/>
      <c r="P58" s="77"/>
      <c r="Q58" s="77"/>
      <c r="R58" s="77">
        <v>12</v>
      </c>
      <c r="S58" s="77">
        <v>6</v>
      </c>
      <c r="T58" s="77">
        <v>1</v>
      </c>
      <c r="U58" s="77">
        <f>S58*10</f>
        <v>60</v>
      </c>
      <c r="V58" s="12">
        <f t="shared" si="1"/>
        <v>4</v>
      </c>
      <c r="W58" s="12"/>
      <c r="X58" s="77" t="str">
        <f>Taulukko1[[#This Row],[Main Race]]</f>
        <v>Common Men</v>
      </c>
      <c r="Z58" s="12" t="s">
        <v>954</v>
      </c>
      <c r="AA58" s="12">
        <v>6543</v>
      </c>
      <c r="AB58" s="12">
        <v>6543</v>
      </c>
      <c r="AC58" s="12">
        <v>7654</v>
      </c>
      <c r="AD58" s="12">
        <v>6543</v>
      </c>
      <c r="AE58" s="12">
        <v>6543</v>
      </c>
      <c r="AF58" s="12">
        <v>6543</v>
      </c>
      <c r="AG58" s="12">
        <v>6543</v>
      </c>
      <c r="AH58" s="12">
        <v>6421</v>
      </c>
      <c r="AJ58" s="12"/>
      <c r="AK58" s="12"/>
      <c r="AL58" s="67" t="s">
        <v>3959</v>
      </c>
      <c r="AM58" s="67" t="s">
        <v>3957</v>
      </c>
      <c r="AN58" s="12"/>
      <c r="AO58" s="12"/>
      <c r="AP58" s="12"/>
      <c r="AQ58" s="12" t="s">
        <v>403</v>
      </c>
      <c r="AR58" s="12"/>
      <c r="AS58" s="12"/>
      <c r="AT58" s="12"/>
      <c r="AU58" s="12"/>
      <c r="AV58" s="12"/>
      <c r="AW58" s="12"/>
      <c r="AX58" s="12" t="s">
        <v>408</v>
      </c>
      <c r="AY58" s="12"/>
      <c r="AZ58" s="12"/>
      <c r="BA58" s="12"/>
      <c r="BB58" s="12"/>
      <c r="BC58" s="12"/>
      <c r="BD58" s="12"/>
      <c r="BE58" s="12"/>
      <c r="BF58" s="12"/>
      <c r="BG58" s="12"/>
      <c r="BH58" s="12"/>
      <c r="BI58" s="12" t="s">
        <v>1109</v>
      </c>
      <c r="BJ58" s="12"/>
      <c r="BK58" s="12" t="s">
        <v>1120</v>
      </c>
      <c r="BL58" s="12"/>
      <c r="BM58" s="12"/>
      <c r="BN58" s="12"/>
      <c r="BO58" s="12"/>
      <c r="BP58" s="12"/>
      <c r="BQ58" s="12"/>
      <c r="BR58" s="12"/>
      <c r="BS58" s="12" t="s">
        <v>4198</v>
      </c>
      <c r="BT58" s="12"/>
      <c r="BU58" s="12" t="s">
        <v>1123</v>
      </c>
      <c r="BV58" s="12"/>
      <c r="BW58" s="67" t="s">
        <v>1119</v>
      </c>
      <c r="BX58" s="67" t="s">
        <v>1119</v>
      </c>
      <c r="BY58" s="67"/>
      <c r="BZ58" s="67"/>
      <c r="CA58" s="67"/>
      <c r="CB58" s="67"/>
      <c r="CC58" s="67"/>
      <c r="CD58" s="67"/>
      <c r="CE58" s="67" t="s">
        <v>1120</v>
      </c>
      <c r="CF58" s="67" t="s">
        <v>1120</v>
      </c>
      <c r="CG58" s="67"/>
      <c r="CH58" s="67"/>
      <c r="CI58" s="67"/>
      <c r="CJ58" s="67" t="s">
        <v>677</v>
      </c>
      <c r="CK58" s="67"/>
      <c r="CL58" s="67"/>
      <c r="CM58" s="67" t="s">
        <v>1121</v>
      </c>
      <c r="CN58" s="67"/>
      <c r="CO58" s="67"/>
      <c r="CP58" s="67"/>
      <c r="CQ58" s="67"/>
      <c r="CR58" s="67"/>
      <c r="CS58" s="67"/>
      <c r="CT58" s="67"/>
      <c r="CU58" s="67"/>
      <c r="CV58" s="67"/>
      <c r="CW58" s="67"/>
      <c r="CX58" s="67" t="s">
        <v>1119</v>
      </c>
      <c r="CY58" s="67"/>
      <c r="CZ58" s="67"/>
      <c r="DA58" s="67"/>
      <c r="DB58" s="67"/>
      <c r="DC58" s="67"/>
      <c r="DD58" s="67"/>
      <c r="DE58" s="67" t="s">
        <v>1122</v>
      </c>
      <c r="DF58" s="67" t="s">
        <v>1122</v>
      </c>
      <c r="DG58" s="67" t="s">
        <v>1122</v>
      </c>
      <c r="DH58" s="67" t="s">
        <v>1122</v>
      </c>
      <c r="DI58" s="67"/>
      <c r="DJ58" s="67"/>
      <c r="DK58" s="67"/>
      <c r="DL58" s="67"/>
      <c r="DM58" s="67"/>
      <c r="DN58" s="67"/>
      <c r="DO58" s="67"/>
      <c r="DP58" s="67"/>
      <c r="DQ58" s="67"/>
      <c r="DR58" s="67"/>
      <c r="DS58" s="67"/>
      <c r="DT58" s="67"/>
      <c r="DU58" s="67"/>
      <c r="DV58" s="67" t="s">
        <v>656</v>
      </c>
      <c r="DW58" s="67" t="s">
        <v>1123</v>
      </c>
      <c r="DX58" s="67"/>
      <c r="DY58" s="67"/>
      <c r="DZ58" s="67" t="s">
        <v>485</v>
      </c>
      <c r="EA58" s="67"/>
      <c r="EB58" s="67"/>
      <c r="EC58" s="67"/>
      <c r="ED58" s="67"/>
      <c r="EE58" s="67"/>
      <c r="EF58" s="67"/>
      <c r="EG58" s="67"/>
      <c r="EH58" s="67">
        <v>5</v>
      </c>
      <c r="EN58" t="s">
        <v>1354</v>
      </c>
    </row>
    <row r="59" spans="1:144" x14ac:dyDescent="0.2">
      <c r="A59" s="77" t="s">
        <v>886</v>
      </c>
      <c r="B59" s="77" t="s">
        <v>4259</v>
      </c>
      <c r="C59" s="77">
        <v>6</v>
      </c>
      <c r="D59" s="77">
        <v>6</v>
      </c>
      <c r="E59" s="77">
        <v>-4</v>
      </c>
      <c r="F59" s="77"/>
      <c r="G59" s="77"/>
      <c r="H59" s="77">
        <v>-6</v>
      </c>
      <c r="I59" s="77">
        <v>4</v>
      </c>
      <c r="J59" s="77">
        <v>-2</v>
      </c>
      <c r="K59" s="77"/>
      <c r="L59" s="77"/>
      <c r="M59" s="77">
        <v>25</v>
      </c>
      <c r="N59" s="77">
        <v>10</v>
      </c>
      <c r="O59" s="77">
        <v>20</v>
      </c>
      <c r="P59" s="77">
        <v>30</v>
      </c>
      <c r="Q59" s="77">
        <v>15</v>
      </c>
      <c r="R59" s="77">
        <v>1</v>
      </c>
      <c r="S59" s="77">
        <v>5</v>
      </c>
      <c r="T59" s="77">
        <v>0.5</v>
      </c>
      <c r="U59" s="77">
        <v>50</v>
      </c>
      <c r="V59" s="12">
        <f t="shared" si="1"/>
        <v>4</v>
      </c>
      <c r="W59" s="12">
        <f>Stats!$B$4</f>
        <v>95.697167755991316</v>
      </c>
      <c r="X59" s="77" t="str">
        <f>Taulukko1[[#This Row],[Main Race]]</f>
        <v>Halfling</v>
      </c>
      <c r="Z59" s="12" t="s">
        <v>934</v>
      </c>
      <c r="AA59" s="12">
        <v>6543</v>
      </c>
      <c r="AB59" s="12">
        <v>6543</v>
      </c>
      <c r="AC59" s="12">
        <v>7654</v>
      </c>
      <c r="AD59" s="12">
        <v>6543</v>
      </c>
      <c r="AE59" s="12">
        <v>6543</v>
      </c>
      <c r="AF59" s="12">
        <v>6543</v>
      </c>
      <c r="AG59" s="12">
        <v>6543</v>
      </c>
      <c r="AH59" s="12">
        <v>6521</v>
      </c>
      <c r="AJ59" s="12"/>
      <c r="AK59" s="12"/>
      <c r="AL59" s="12"/>
      <c r="AM59" s="12"/>
      <c r="AN59" s="12"/>
      <c r="AO59" s="12"/>
      <c r="AP59" s="12"/>
      <c r="AQ59" s="12" t="s">
        <v>442</v>
      </c>
      <c r="AR59" s="12"/>
      <c r="AS59" s="12"/>
      <c r="AT59" s="12"/>
      <c r="AU59" s="12"/>
      <c r="AV59" s="12"/>
      <c r="AW59" s="12"/>
      <c r="AX59" s="12" t="s">
        <v>1109</v>
      </c>
      <c r="AY59" s="12"/>
      <c r="AZ59" s="12"/>
      <c r="BA59" s="12"/>
      <c r="BB59" s="12"/>
      <c r="BC59" s="12"/>
      <c r="BD59" s="12"/>
      <c r="BE59" s="12"/>
      <c r="BF59" s="12"/>
      <c r="BG59" s="12"/>
      <c r="BH59" s="12"/>
      <c r="BI59" s="12" t="s">
        <v>401</v>
      </c>
      <c r="BJ59" s="12"/>
      <c r="BK59" s="12"/>
      <c r="BL59" s="12"/>
      <c r="BM59" s="12"/>
      <c r="BN59" s="12"/>
      <c r="BO59" s="12"/>
      <c r="BP59" s="12"/>
      <c r="BQ59" s="12"/>
      <c r="BR59" s="12"/>
      <c r="BS59" s="12"/>
      <c r="BT59" s="12"/>
      <c r="BU59" s="12" t="s">
        <v>1125</v>
      </c>
      <c r="BV59" s="12"/>
      <c r="BW59" s="67" t="s">
        <v>1109</v>
      </c>
      <c r="BX59" s="67" t="s">
        <v>1109</v>
      </c>
      <c r="BY59" s="67"/>
      <c r="BZ59" s="67"/>
      <c r="CA59" s="67"/>
      <c r="CB59" s="67"/>
      <c r="CC59" s="67"/>
      <c r="CD59" s="67"/>
      <c r="CE59" s="67"/>
      <c r="CF59" s="67"/>
      <c r="CG59" s="67"/>
      <c r="CH59" s="67"/>
      <c r="CI59" s="67"/>
      <c r="CJ59" s="67" t="s">
        <v>1124</v>
      </c>
      <c r="CK59" s="67"/>
      <c r="CL59" s="67"/>
      <c r="CM59" s="67"/>
      <c r="CN59" s="67"/>
      <c r="CO59" s="67"/>
      <c r="CP59" s="67"/>
      <c r="CQ59" s="67"/>
      <c r="CR59" s="67"/>
      <c r="CS59" s="67"/>
      <c r="CT59" s="67"/>
      <c r="CU59" s="67"/>
      <c r="CV59" s="67"/>
      <c r="CW59" s="67"/>
      <c r="CX59" s="67" t="s">
        <v>472</v>
      </c>
      <c r="CY59" s="67"/>
      <c r="CZ59" s="67"/>
      <c r="DA59" s="67"/>
      <c r="DB59" s="67"/>
      <c r="DC59" s="67"/>
      <c r="DD59" s="67"/>
      <c r="DE59" s="67"/>
      <c r="DF59" s="67"/>
      <c r="DG59" s="67"/>
      <c r="DH59" s="67"/>
      <c r="DI59" s="67"/>
      <c r="DJ59" s="67"/>
      <c r="DK59" s="67"/>
      <c r="DL59" s="67"/>
      <c r="DM59" s="67"/>
      <c r="DN59" s="67"/>
      <c r="DO59" s="67"/>
      <c r="DP59" s="67"/>
      <c r="DQ59" s="67"/>
      <c r="DR59" s="67"/>
      <c r="DS59" s="67"/>
      <c r="DT59" s="67"/>
      <c r="DU59" s="67"/>
      <c r="DV59" s="67" t="s">
        <v>658</v>
      </c>
      <c r="DW59" s="67" t="s">
        <v>1125</v>
      </c>
      <c r="DX59" s="67"/>
      <c r="DY59" s="67"/>
      <c r="DZ59" s="67"/>
      <c r="EA59" s="67"/>
      <c r="EB59" s="67"/>
      <c r="EC59" s="67"/>
      <c r="ED59" s="67"/>
      <c r="EE59" s="67"/>
      <c r="EF59" s="67"/>
      <c r="EG59" s="67"/>
      <c r="EH59" s="67">
        <v>6</v>
      </c>
      <c r="EN59" t="s">
        <v>580</v>
      </c>
    </row>
    <row r="60" spans="1:144" x14ac:dyDescent="0.2">
      <c r="A60" s="77" t="s">
        <v>3942</v>
      </c>
      <c r="B60" s="77" t="s">
        <v>5474</v>
      </c>
      <c r="C60" s="77"/>
      <c r="D60" s="77">
        <v>4</v>
      </c>
      <c r="E60" s="77">
        <v>-5</v>
      </c>
      <c r="F60" s="77">
        <v>2</v>
      </c>
      <c r="G60" s="77"/>
      <c r="H60" s="77"/>
      <c r="I60" s="77">
        <v>2</v>
      </c>
      <c r="J60" s="77">
        <v>2</v>
      </c>
      <c r="K60" s="77"/>
      <c r="L60" s="77">
        <v>2</v>
      </c>
      <c r="M60" s="77"/>
      <c r="N60" s="77"/>
      <c r="O60" s="77"/>
      <c r="P60" s="77">
        <v>10</v>
      </c>
      <c r="Q60" s="77">
        <v>100</v>
      </c>
      <c r="R60" s="77">
        <v>1</v>
      </c>
      <c r="S60" s="77">
        <v>2</v>
      </c>
      <c r="T60" s="77">
        <v>1.5</v>
      </c>
      <c r="U60" s="77">
        <v>20</v>
      </c>
      <c r="V60" s="12">
        <f t="shared" si="1"/>
        <v>7</v>
      </c>
      <c r="W60" s="12"/>
      <c r="X60" s="77" t="str">
        <f>Taulukko1[[#This Row],[Main Race]]</f>
        <v>Elf</v>
      </c>
      <c r="Z60" s="12" t="s">
        <v>4259</v>
      </c>
      <c r="AA60" s="12">
        <v>2111</v>
      </c>
      <c r="AB60" s="12">
        <v>6543</v>
      </c>
      <c r="AC60" s="12">
        <v>2111</v>
      </c>
      <c r="AD60" s="12">
        <v>4322</v>
      </c>
      <c r="AE60" s="12">
        <v>2111</v>
      </c>
      <c r="AF60" s="12">
        <v>4322</v>
      </c>
      <c r="AG60" s="12">
        <v>3221</v>
      </c>
      <c r="AH60" s="12">
        <v>6521</v>
      </c>
      <c r="AJ60" s="12"/>
      <c r="AK60" s="12"/>
      <c r="AL60" s="12"/>
      <c r="AM60" s="12"/>
      <c r="AN60" s="12"/>
      <c r="AO60" s="12"/>
      <c r="AP60" s="12"/>
      <c r="AQ60" s="12"/>
      <c r="AR60" s="12"/>
      <c r="AS60" s="12"/>
      <c r="AT60" s="12"/>
      <c r="AU60" s="12"/>
      <c r="AV60" s="12"/>
      <c r="AW60" s="12"/>
      <c r="AX60" s="12" t="s">
        <v>403</v>
      </c>
      <c r="AY60" s="12"/>
      <c r="AZ60" s="12"/>
      <c r="BA60" s="12"/>
      <c r="BB60" s="12"/>
      <c r="BC60" s="12"/>
      <c r="BD60" s="12"/>
      <c r="BE60" s="12"/>
      <c r="BF60" s="12"/>
      <c r="BG60" s="12"/>
      <c r="BH60" s="12"/>
      <c r="BI60" s="12" t="s">
        <v>403</v>
      </c>
      <c r="BJ60" s="12"/>
      <c r="BK60" s="12"/>
      <c r="BL60" s="12"/>
      <c r="BM60" s="12"/>
      <c r="BN60" s="12"/>
      <c r="BO60" s="12"/>
      <c r="BP60" s="12"/>
      <c r="BQ60" s="12"/>
      <c r="BR60" s="12"/>
      <c r="BS60" s="12"/>
      <c r="BT60" s="12"/>
      <c r="BU60" s="12"/>
      <c r="BV60" s="12"/>
      <c r="BW60" s="67" t="s">
        <v>401</v>
      </c>
      <c r="BX60" s="67" t="s">
        <v>401</v>
      </c>
      <c r="BY60" s="67"/>
      <c r="BZ60" s="67"/>
      <c r="CA60" s="67"/>
      <c r="CB60" s="67"/>
      <c r="CC60" s="67"/>
      <c r="CD60" s="67"/>
      <c r="CE60" s="67"/>
      <c r="CF60" s="67"/>
      <c r="CG60" s="67"/>
      <c r="CH60" s="67"/>
      <c r="CI60" s="67"/>
      <c r="CJ60" s="67" t="s">
        <v>1126</v>
      </c>
      <c r="CK60" s="67"/>
      <c r="CL60" s="67"/>
      <c r="CM60" s="67"/>
      <c r="CN60" s="67"/>
      <c r="CO60" s="67"/>
      <c r="CP60" s="67"/>
      <c r="CQ60" s="67"/>
      <c r="CR60" s="67"/>
      <c r="CS60" s="67"/>
      <c r="CT60" s="67"/>
      <c r="CU60" s="67"/>
      <c r="CV60" s="67"/>
      <c r="CW60" s="67"/>
      <c r="CX60" s="67"/>
      <c r="CY60" s="67"/>
      <c r="CZ60" s="67"/>
      <c r="DA60" s="67"/>
      <c r="DB60" s="67"/>
      <c r="DC60" s="67"/>
      <c r="DD60" s="67"/>
      <c r="DE60" s="67"/>
      <c r="DF60" s="67"/>
      <c r="DG60" s="67"/>
      <c r="DH60" s="67"/>
      <c r="DI60" s="67"/>
      <c r="DJ60" s="67"/>
      <c r="DK60" s="67"/>
      <c r="DL60" s="67"/>
      <c r="DM60" s="67"/>
      <c r="DN60" s="67"/>
      <c r="DO60" s="67"/>
      <c r="DP60" s="67"/>
      <c r="DQ60" s="67"/>
      <c r="DR60" s="67"/>
      <c r="DS60" s="67"/>
      <c r="DT60" s="67"/>
      <c r="DU60" s="67"/>
      <c r="DV60" s="67" t="s">
        <v>662</v>
      </c>
      <c r="DW60" s="67"/>
      <c r="DX60" s="67"/>
      <c r="DY60" s="67"/>
      <c r="DZ60" s="67"/>
      <c r="EA60" s="67"/>
      <c r="EB60" s="67"/>
      <c r="EC60" s="67"/>
      <c r="ED60" s="67"/>
      <c r="EE60" s="67"/>
      <c r="EF60" s="67"/>
      <c r="EG60" s="67"/>
      <c r="EH60" s="67">
        <v>7</v>
      </c>
    </row>
    <row r="61" spans="1:144" x14ac:dyDescent="0.2">
      <c r="A61" s="77" t="s">
        <v>1056</v>
      </c>
      <c r="B61" s="77" t="s">
        <v>887</v>
      </c>
      <c r="C61" s="77">
        <v>2</v>
      </c>
      <c r="D61" s="77"/>
      <c r="E61" s="77">
        <v>2</v>
      </c>
      <c r="F61" s="77"/>
      <c r="G61" s="77"/>
      <c r="H61" s="77">
        <v>2</v>
      </c>
      <c r="I61" s="77"/>
      <c r="J61" s="77">
        <v>-2</v>
      </c>
      <c r="K61" s="77"/>
      <c r="L61" s="77"/>
      <c r="M61" s="77"/>
      <c r="N61" s="77"/>
      <c r="O61" s="77"/>
      <c r="P61" s="77"/>
      <c r="Q61" s="77">
        <v>5</v>
      </c>
      <c r="R61" s="77">
        <v>12</v>
      </c>
      <c r="S61" s="77">
        <v>6</v>
      </c>
      <c r="T61" s="77">
        <v>1</v>
      </c>
      <c r="U61" s="77">
        <v>45</v>
      </c>
      <c r="V61" s="12">
        <f t="shared" si="1"/>
        <v>4</v>
      </c>
      <c r="W61" s="12"/>
      <c r="X61" s="77" t="str">
        <f>Taulukko1[[#This Row],[Main Race]]</f>
        <v>Arctic Men</v>
      </c>
      <c r="Z61" s="12" t="s">
        <v>887</v>
      </c>
      <c r="AA61" s="12">
        <v>6543</v>
      </c>
      <c r="AB61" s="12">
        <v>6543</v>
      </c>
      <c r="AC61" s="12">
        <v>7654</v>
      </c>
      <c r="AD61" s="12">
        <v>6543</v>
      </c>
      <c r="AE61" s="12">
        <v>6543</v>
      </c>
      <c r="AF61" s="12">
        <v>6543</v>
      </c>
      <c r="AG61" s="12">
        <v>6543</v>
      </c>
      <c r="AH61" s="12">
        <v>6521</v>
      </c>
      <c r="AJ61" s="12"/>
      <c r="AK61" s="12"/>
      <c r="AL61" s="12"/>
      <c r="AM61" s="12"/>
      <c r="AN61" s="12"/>
      <c r="AO61" s="12"/>
      <c r="AP61" s="12"/>
      <c r="AQ61" s="12"/>
      <c r="AR61" s="12"/>
      <c r="AS61" s="12"/>
      <c r="AT61" s="12"/>
      <c r="AU61" s="12"/>
      <c r="AV61" s="12"/>
      <c r="AW61" s="12"/>
      <c r="AX61" s="12"/>
      <c r="AY61" s="12"/>
      <c r="AZ61" s="12"/>
      <c r="BA61" s="12"/>
      <c r="BB61" s="12"/>
      <c r="BC61" s="12"/>
      <c r="BD61" s="12"/>
      <c r="BE61" s="12"/>
      <c r="BF61" s="12"/>
      <c r="BG61" s="12"/>
      <c r="BH61" s="12"/>
      <c r="BI61" s="12" t="s">
        <v>404</v>
      </c>
      <c r="BJ61" s="12"/>
      <c r="BK61" s="12"/>
      <c r="BL61" s="12"/>
      <c r="BM61" s="12"/>
      <c r="BN61" s="12"/>
      <c r="BO61" s="12"/>
      <c r="BP61" s="12"/>
      <c r="BQ61" s="12"/>
      <c r="BR61" s="12"/>
      <c r="BS61" s="12"/>
      <c r="BT61" s="12"/>
      <c r="BU61" s="12"/>
      <c r="BV61" s="12"/>
      <c r="BW61" s="67" t="s">
        <v>403</v>
      </c>
      <c r="BX61" s="67" t="s">
        <v>403</v>
      </c>
      <c r="BY61" s="67"/>
      <c r="BZ61" s="67"/>
      <c r="CA61" s="67"/>
      <c r="CB61" s="67"/>
      <c r="CC61" s="67"/>
      <c r="CD61" s="67"/>
      <c r="CE61" s="67"/>
      <c r="CF61" s="67"/>
      <c r="CG61" s="67"/>
      <c r="CH61" s="67"/>
      <c r="CI61" s="67"/>
      <c r="CJ61" s="67" t="s">
        <v>1127</v>
      </c>
      <c r="CK61" s="67"/>
      <c r="CL61" s="67"/>
      <c r="CM61" s="67"/>
      <c r="CN61" s="67"/>
      <c r="CO61" s="67"/>
      <c r="CP61" s="67"/>
      <c r="CQ61" s="67"/>
      <c r="CR61" s="67"/>
      <c r="CS61" s="67"/>
      <c r="CT61" s="67"/>
      <c r="CU61" s="67"/>
      <c r="CV61" s="67"/>
      <c r="CW61" s="67"/>
      <c r="CX61" s="67"/>
      <c r="CY61" s="67"/>
      <c r="CZ61" s="67"/>
      <c r="DA61" s="67"/>
      <c r="DB61" s="67"/>
      <c r="DC61" s="67"/>
      <c r="DD61" s="67"/>
      <c r="DE61" s="67"/>
      <c r="DF61" s="67"/>
      <c r="DG61" s="67"/>
      <c r="DH61" s="67"/>
      <c r="DI61" s="67"/>
      <c r="DJ61" s="67"/>
      <c r="DK61" s="67"/>
      <c r="DL61" s="67"/>
      <c r="DM61" s="67"/>
      <c r="DN61" s="67"/>
      <c r="DO61" s="67"/>
      <c r="DP61" s="67"/>
      <c r="DQ61" s="67"/>
      <c r="DR61" s="67"/>
      <c r="DS61" s="67"/>
      <c r="DT61" s="67"/>
      <c r="DU61" s="67"/>
      <c r="DV61" s="67"/>
      <c r="DW61" s="67"/>
      <c r="DX61" s="67"/>
      <c r="DY61" s="67"/>
      <c r="DZ61" s="67"/>
      <c r="EA61" s="67"/>
      <c r="EB61" s="67"/>
      <c r="EC61" s="67"/>
      <c r="ED61" s="67"/>
      <c r="EE61" s="67"/>
      <c r="EF61" s="67"/>
      <c r="EG61" s="67"/>
      <c r="EH61" s="67">
        <v>8</v>
      </c>
    </row>
    <row r="62" spans="1:144" x14ac:dyDescent="0.2">
      <c r="A62" s="77" t="s">
        <v>1056</v>
      </c>
      <c r="B62" s="77" t="s">
        <v>944</v>
      </c>
      <c r="C62" s="77">
        <v>2</v>
      </c>
      <c r="D62" s="77"/>
      <c r="E62" s="77">
        <v>2</v>
      </c>
      <c r="F62" s="77"/>
      <c r="G62" s="77"/>
      <c r="H62" s="77">
        <v>2</v>
      </c>
      <c r="I62" s="77"/>
      <c r="J62" s="77">
        <v>-2</v>
      </c>
      <c r="K62" s="77"/>
      <c r="L62" s="77"/>
      <c r="M62" s="77"/>
      <c r="N62" s="77"/>
      <c r="O62" s="77"/>
      <c r="P62" s="77"/>
      <c r="Q62" s="77">
        <v>5</v>
      </c>
      <c r="R62" s="77">
        <v>12</v>
      </c>
      <c r="S62" s="77">
        <v>6</v>
      </c>
      <c r="T62" s="77">
        <v>1</v>
      </c>
      <c r="U62" s="77">
        <v>45</v>
      </c>
      <c r="V62" s="12">
        <f t="shared" si="1"/>
        <v>4</v>
      </c>
      <c r="W62" s="12"/>
      <c r="X62" s="77" t="str">
        <f>Taulukko1[[#This Row],[Main Race]]</f>
        <v>Arctic Men</v>
      </c>
      <c r="Z62" s="12" t="s">
        <v>944</v>
      </c>
      <c r="AA62" s="12">
        <v>6543</v>
      </c>
      <c r="AB62" s="12">
        <v>6543</v>
      </c>
      <c r="AC62" s="12">
        <v>7654</v>
      </c>
      <c r="AD62" s="12">
        <v>6543</v>
      </c>
      <c r="AE62" s="12">
        <v>6543</v>
      </c>
      <c r="AF62" s="12">
        <v>6543</v>
      </c>
      <c r="AG62" s="12">
        <v>6543</v>
      </c>
      <c r="AH62" s="12">
        <v>6521</v>
      </c>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67"/>
      <c r="BX62" s="67"/>
      <c r="BY62" s="67"/>
      <c r="BZ62" s="67"/>
      <c r="CA62" s="67"/>
      <c r="CB62" s="67"/>
      <c r="CC62" s="67"/>
      <c r="CD62" s="67"/>
      <c r="CE62" s="67"/>
      <c r="CF62" s="67"/>
      <c r="CG62" s="67"/>
      <c r="CH62" s="67"/>
      <c r="CI62" s="67"/>
      <c r="CJ62" s="67"/>
      <c r="CK62" s="67"/>
      <c r="CL62" s="67"/>
      <c r="CM62" s="67"/>
      <c r="CN62" s="67"/>
      <c r="CO62" s="67"/>
      <c r="CP62" s="67"/>
      <c r="CQ62" s="67"/>
      <c r="CR62" s="67"/>
      <c r="CS62" s="67"/>
      <c r="CT62" s="67"/>
      <c r="CU62" s="67"/>
      <c r="CV62" s="67"/>
      <c r="CW62" s="67"/>
      <c r="CX62" s="67"/>
      <c r="CY62" s="67"/>
      <c r="CZ62" s="67"/>
      <c r="DA62" s="67"/>
      <c r="DB62" s="67"/>
      <c r="DC62" s="67"/>
      <c r="DD62" s="67"/>
      <c r="DE62" s="67"/>
      <c r="DF62" s="67"/>
      <c r="DG62" s="67"/>
      <c r="DH62" s="67"/>
      <c r="DI62" s="67"/>
      <c r="DJ62" s="67"/>
      <c r="DK62" s="67"/>
      <c r="DL62" s="67"/>
      <c r="DM62" s="67"/>
      <c r="DN62" s="67"/>
      <c r="DO62" s="67"/>
      <c r="DP62" s="67"/>
      <c r="DQ62" s="67"/>
      <c r="DR62" s="67"/>
      <c r="DS62" s="67"/>
      <c r="DT62" s="67"/>
      <c r="DU62" s="67"/>
      <c r="DV62" s="67"/>
      <c r="DW62" s="67"/>
      <c r="DX62" s="67"/>
      <c r="DY62" s="67"/>
      <c r="DZ62" s="67"/>
      <c r="EA62" s="67"/>
      <c r="EB62" s="67"/>
      <c r="EC62" s="67"/>
      <c r="ED62" s="67"/>
      <c r="EE62" s="67"/>
      <c r="EF62" s="67"/>
    </row>
    <row r="63" spans="1:144" x14ac:dyDescent="0.2">
      <c r="A63" s="77" t="s">
        <v>1056</v>
      </c>
      <c r="B63" s="77" t="s">
        <v>946</v>
      </c>
      <c r="C63" s="77">
        <v>2</v>
      </c>
      <c r="D63" s="77"/>
      <c r="E63" s="77">
        <v>2</v>
      </c>
      <c r="F63" s="77"/>
      <c r="G63" s="77"/>
      <c r="H63" s="77">
        <v>2</v>
      </c>
      <c r="I63" s="77"/>
      <c r="J63" s="77">
        <v>-2</v>
      </c>
      <c r="K63" s="77"/>
      <c r="L63" s="77"/>
      <c r="M63" s="77"/>
      <c r="N63" s="77"/>
      <c r="O63" s="77"/>
      <c r="P63" s="77"/>
      <c r="Q63" s="77">
        <v>5</v>
      </c>
      <c r="R63" s="77">
        <v>12</v>
      </c>
      <c r="S63" s="77">
        <v>6</v>
      </c>
      <c r="T63" s="77">
        <v>1</v>
      </c>
      <c r="U63" s="77">
        <v>45</v>
      </c>
      <c r="V63" s="12">
        <f t="shared" si="1"/>
        <v>4</v>
      </c>
      <c r="W63" s="12"/>
      <c r="X63" s="77" t="str">
        <f>Taulukko1[[#This Row],[Main Race]]</f>
        <v>Arctic Men</v>
      </c>
      <c r="Z63" s="12" t="s">
        <v>946</v>
      </c>
      <c r="AA63" s="12">
        <v>6543</v>
      </c>
      <c r="AB63" s="12">
        <v>6543</v>
      </c>
      <c r="AC63" s="12">
        <v>7654</v>
      </c>
      <c r="AD63" s="12">
        <v>6543</v>
      </c>
      <c r="AE63" s="12">
        <v>6543</v>
      </c>
      <c r="AF63" s="12">
        <v>6543</v>
      </c>
      <c r="AG63" s="12">
        <v>6543</v>
      </c>
      <c r="AH63" s="12">
        <v>6521</v>
      </c>
      <c r="AJ63" s="20" t="s">
        <v>1131</v>
      </c>
      <c r="AK63" s="77" t="s">
        <v>4062</v>
      </c>
      <c r="AL63" s="77" t="s">
        <v>897</v>
      </c>
      <c r="AM63" s="77" t="s">
        <v>4747</v>
      </c>
      <c r="AN63" s="77" t="s">
        <v>876</v>
      </c>
      <c r="AO63" s="77" t="s">
        <v>4748</v>
      </c>
      <c r="AP63" s="77" t="s">
        <v>4749</v>
      </c>
      <c r="AQ63" s="77" t="s">
        <v>3942</v>
      </c>
      <c r="AR63" s="77" t="s">
        <v>4750</v>
      </c>
      <c r="AS63" s="77" t="s">
        <v>4751</v>
      </c>
      <c r="AT63" s="77" t="s">
        <v>4752</v>
      </c>
      <c r="AU63" s="77" t="s">
        <v>4753</v>
      </c>
      <c r="AV63" s="77" t="s">
        <v>4754</v>
      </c>
      <c r="AW63" s="77" t="s">
        <v>4053</v>
      </c>
      <c r="AX63" s="77" t="s">
        <v>4755</v>
      </c>
      <c r="AY63" s="77" t="s">
        <v>4756</v>
      </c>
      <c r="AZ63" s="77" t="s">
        <v>886</v>
      </c>
      <c r="BA63" s="77" t="s">
        <v>4757</v>
      </c>
      <c r="BB63" s="77" t="s">
        <v>4758</v>
      </c>
      <c r="BC63" s="77" t="s">
        <v>4055</v>
      </c>
      <c r="BD63" s="77" t="s">
        <v>4759</v>
      </c>
      <c r="BE63" s="77" t="s">
        <v>4760</v>
      </c>
      <c r="BF63" s="77" t="s">
        <v>4761</v>
      </c>
      <c r="BG63" s="77" t="s">
        <v>4762</v>
      </c>
      <c r="BH63" s="77" t="s">
        <v>4763</v>
      </c>
      <c r="BI63" s="77" t="s">
        <v>4764</v>
      </c>
      <c r="BJ63" s="77" t="s">
        <v>4765</v>
      </c>
      <c r="BK63" s="77" t="s">
        <v>4766</v>
      </c>
      <c r="BL63" s="77" t="s">
        <v>4767</v>
      </c>
      <c r="BM63" s="77" t="s">
        <v>4768</v>
      </c>
      <c r="BN63" s="77" t="s">
        <v>4769</v>
      </c>
      <c r="BO63" s="77" t="s">
        <v>4770</v>
      </c>
      <c r="BP63" s="77" t="s">
        <v>4771</v>
      </c>
      <c r="BQ63" s="77" t="s">
        <v>4772</v>
      </c>
      <c r="BR63" s="77" t="s">
        <v>4773</v>
      </c>
      <c r="BS63" s="77" t="s">
        <v>4774</v>
      </c>
      <c r="BT63" s="77" t="s">
        <v>4775</v>
      </c>
      <c r="BU63" s="77" t="s">
        <v>994</v>
      </c>
      <c r="BV63" s="77" t="s">
        <v>4776</v>
      </c>
      <c r="BW63" s="88" t="s">
        <v>1023</v>
      </c>
      <c r="BX63" s="87" t="s">
        <v>4777</v>
      </c>
      <c r="BY63" s="88" t="s">
        <v>873</v>
      </c>
      <c r="BZ63" s="88" t="s">
        <v>4778</v>
      </c>
      <c r="CA63" s="87" t="s">
        <v>874</v>
      </c>
      <c r="CB63" s="88" t="s">
        <v>4779</v>
      </c>
      <c r="CC63" s="88" t="s">
        <v>4780</v>
      </c>
      <c r="CD63" s="88" t="s">
        <v>4781</v>
      </c>
      <c r="CE63" s="88" t="s">
        <v>4782</v>
      </c>
      <c r="CF63" s="88" t="s">
        <v>875</v>
      </c>
      <c r="CG63" s="87" t="s">
        <v>4783</v>
      </c>
      <c r="CH63" s="87" t="s">
        <v>4784</v>
      </c>
      <c r="CI63" s="87" t="s">
        <v>4785</v>
      </c>
      <c r="CJ63" s="88" t="s">
        <v>4786</v>
      </c>
      <c r="CK63" s="86" t="s">
        <v>5474</v>
      </c>
      <c r="CL63" s="88" t="s">
        <v>877</v>
      </c>
      <c r="CM63" s="88" t="s">
        <v>878</v>
      </c>
      <c r="CN63" s="88" t="s">
        <v>879</v>
      </c>
      <c r="CO63" s="88" t="s">
        <v>880</v>
      </c>
      <c r="CP63" s="88" t="s">
        <v>881</v>
      </c>
      <c r="CQ63" s="88" t="s">
        <v>882</v>
      </c>
      <c r="CR63" s="88" t="s">
        <v>4787</v>
      </c>
      <c r="CS63" s="88" t="s">
        <v>4788</v>
      </c>
      <c r="CT63" s="88" t="s">
        <v>4789</v>
      </c>
      <c r="CU63" s="88" t="s">
        <v>4790</v>
      </c>
      <c r="CV63" s="88" t="s">
        <v>4791</v>
      </c>
      <c r="CW63" s="88" t="s">
        <v>4792</v>
      </c>
      <c r="CX63" s="88" t="s">
        <v>4793</v>
      </c>
      <c r="CY63" s="87" t="s">
        <v>4794</v>
      </c>
      <c r="CZ63" s="88" t="s">
        <v>1097</v>
      </c>
      <c r="DA63" s="88" t="s">
        <v>1098</v>
      </c>
      <c r="DB63" s="88" t="s">
        <v>1029</v>
      </c>
      <c r="DC63" s="88" t="s">
        <v>4795</v>
      </c>
      <c r="DD63" s="88" t="s">
        <v>4796</v>
      </c>
      <c r="DE63" s="88" t="s">
        <v>887</v>
      </c>
      <c r="DF63" s="88" t="s">
        <v>4797</v>
      </c>
      <c r="DG63" s="88" t="s">
        <v>4798</v>
      </c>
      <c r="DH63" s="88" t="s">
        <v>4799</v>
      </c>
      <c r="DI63" s="88" t="s">
        <v>888</v>
      </c>
      <c r="DJ63" s="88" t="s">
        <v>4800</v>
      </c>
      <c r="DK63" s="88" t="s">
        <v>4801</v>
      </c>
      <c r="DL63" s="88" t="s">
        <v>4802</v>
      </c>
      <c r="DM63" s="87" t="s">
        <v>4803</v>
      </c>
      <c r="DN63" s="88" t="s">
        <v>4804</v>
      </c>
      <c r="DO63" s="88" t="s">
        <v>4805</v>
      </c>
      <c r="DP63" s="88" t="s">
        <v>4806</v>
      </c>
      <c r="DQ63" s="88" t="s">
        <v>4807</v>
      </c>
      <c r="DR63" s="88" t="s">
        <v>889</v>
      </c>
      <c r="DS63" s="88" t="s">
        <v>890</v>
      </c>
      <c r="DT63" s="88" t="s">
        <v>891</v>
      </c>
      <c r="DU63" s="88" t="s">
        <v>892</v>
      </c>
      <c r="DV63" s="88" t="s">
        <v>893</v>
      </c>
      <c r="DW63" s="88" t="s">
        <v>894</v>
      </c>
      <c r="DX63" s="88" t="s">
        <v>895</v>
      </c>
      <c r="DY63" s="88" t="s">
        <v>896</v>
      </c>
      <c r="DZ63" s="87" t="s">
        <v>898</v>
      </c>
      <c r="EA63" s="87" t="s">
        <v>4808</v>
      </c>
      <c r="EB63" s="87" t="s">
        <v>4809</v>
      </c>
      <c r="EC63" s="87" t="s">
        <v>4810</v>
      </c>
      <c r="ED63" s="87" t="s">
        <v>4811</v>
      </c>
      <c r="EE63" s="87" t="s">
        <v>4812</v>
      </c>
      <c r="EF63" s="87" t="s">
        <v>4706</v>
      </c>
      <c r="EG63" s="87" t="s">
        <v>4707</v>
      </c>
      <c r="EH63" s="67" t="s">
        <v>4914</v>
      </c>
    </row>
    <row r="64" spans="1:144" x14ac:dyDescent="0.2">
      <c r="A64" s="77" t="s">
        <v>3942</v>
      </c>
      <c r="B64" s="77" t="s">
        <v>4041</v>
      </c>
      <c r="C64" s="77">
        <v>2</v>
      </c>
      <c r="D64" s="77">
        <v>4</v>
      </c>
      <c r="E64" s="77">
        <v>-5</v>
      </c>
      <c r="F64" s="77">
        <v>2</v>
      </c>
      <c r="G64" s="77"/>
      <c r="H64" s="77"/>
      <c r="I64" s="77">
        <v>4</v>
      </c>
      <c r="J64" s="77">
        <v>4</v>
      </c>
      <c r="K64" s="77">
        <v>2</v>
      </c>
      <c r="L64" s="77">
        <v>2</v>
      </c>
      <c r="M64" s="77"/>
      <c r="N64" s="77"/>
      <c r="O64" s="77"/>
      <c r="P64" s="77">
        <v>10</v>
      </c>
      <c r="Q64" s="77">
        <v>100</v>
      </c>
      <c r="R64" s="77">
        <v>1</v>
      </c>
      <c r="S64" s="77">
        <v>2</v>
      </c>
      <c r="T64" s="77">
        <v>2</v>
      </c>
      <c r="U64" s="77">
        <v>10</v>
      </c>
      <c r="V64" s="12">
        <f t="shared" si="1"/>
        <v>15</v>
      </c>
      <c r="W64" s="12"/>
      <c r="X64" s="77" t="str">
        <f>Taulukko1[[#This Row],[Main Race]]</f>
        <v>Elf</v>
      </c>
      <c r="Z64" s="12" t="s">
        <v>4041</v>
      </c>
      <c r="AA64" s="12">
        <v>7654</v>
      </c>
      <c r="AB64" s="12">
        <v>6543</v>
      </c>
      <c r="AC64" s="12">
        <v>6543</v>
      </c>
      <c r="AD64" s="12">
        <v>6543</v>
      </c>
      <c r="AE64" s="12">
        <v>6543</v>
      </c>
      <c r="AF64" s="12">
        <v>6543</v>
      </c>
      <c r="AG64" s="12">
        <v>6543</v>
      </c>
      <c r="AH64" s="12">
        <v>6421</v>
      </c>
      <c r="AJ64" s="90" t="s">
        <v>4742</v>
      </c>
      <c r="AK64" s="77" t="s">
        <v>4062</v>
      </c>
      <c r="AL64" s="77" t="s">
        <v>958</v>
      </c>
      <c r="AM64" s="77" t="s">
        <v>957</v>
      </c>
      <c r="AN64" s="77" t="s">
        <v>4226</v>
      </c>
      <c r="AO64" s="77" t="s">
        <v>4225</v>
      </c>
      <c r="AP64" s="77" t="s">
        <v>4230</v>
      </c>
      <c r="AQ64" s="77" t="s">
        <v>4050</v>
      </c>
      <c r="AR64" s="77" t="s">
        <v>880</v>
      </c>
      <c r="AS64" s="77" t="s">
        <v>4041</v>
      </c>
      <c r="AT64" s="77" t="s">
        <v>4040</v>
      </c>
      <c r="AU64" s="77" t="s">
        <v>4049</v>
      </c>
      <c r="AV64" s="77" t="s">
        <v>4042</v>
      </c>
      <c r="AW64" s="77" t="s">
        <v>4052</v>
      </c>
      <c r="AX64" s="77" t="s">
        <v>4215</v>
      </c>
      <c r="AY64" s="77" t="s">
        <v>4054</v>
      </c>
      <c r="AZ64" s="77" t="s">
        <v>4227</v>
      </c>
      <c r="BA64" s="77" t="s">
        <v>4259</v>
      </c>
      <c r="BB64" s="77" t="s">
        <v>4237</v>
      </c>
      <c r="BC64" s="77" t="s">
        <v>4136</v>
      </c>
      <c r="BD64" s="77" t="s">
        <v>4064</v>
      </c>
      <c r="BE64" s="77" t="s">
        <v>4056</v>
      </c>
      <c r="BF64" s="77" t="s">
        <v>4057</v>
      </c>
      <c r="BG64" s="77" t="s">
        <v>4063</v>
      </c>
      <c r="BH64" s="77" t="s">
        <v>4065</v>
      </c>
      <c r="BI64" s="77" t="s">
        <v>4066</v>
      </c>
      <c r="BJ64" s="77" t="s">
        <v>4067</v>
      </c>
      <c r="BK64" s="77" t="s">
        <v>4058</v>
      </c>
      <c r="BL64" s="77" t="s">
        <v>4254</v>
      </c>
      <c r="BM64" s="77" t="s">
        <v>4059</v>
      </c>
      <c r="BN64" s="77" t="s">
        <v>4068</v>
      </c>
      <c r="BO64" s="77" t="s">
        <v>4060</v>
      </c>
      <c r="BP64" s="77" t="s">
        <v>4069</v>
      </c>
      <c r="BQ64" s="77" t="s">
        <v>4061</v>
      </c>
      <c r="BR64" s="77" t="s">
        <v>4070</v>
      </c>
      <c r="BS64" s="77" t="s">
        <v>4243</v>
      </c>
      <c r="BT64" s="77" t="s">
        <v>4071</v>
      </c>
      <c r="BU64" s="77" t="s">
        <v>894</v>
      </c>
      <c r="BV64" s="77" t="s">
        <v>1038</v>
      </c>
      <c r="BW64" s="87" t="s">
        <v>919</v>
      </c>
      <c r="BX64" s="87" t="s">
        <v>920</v>
      </c>
      <c r="BY64" s="88" t="s">
        <v>921</v>
      </c>
      <c r="BZ64" s="87" t="s">
        <v>922</v>
      </c>
      <c r="CA64" s="87" t="s">
        <v>923</v>
      </c>
      <c r="CB64" s="88" t="s">
        <v>924</v>
      </c>
      <c r="CC64" s="88" t="s">
        <v>925</v>
      </c>
      <c r="CD64" s="88" t="s">
        <v>926</v>
      </c>
      <c r="CE64" s="88" t="s">
        <v>927</v>
      </c>
      <c r="CF64" s="88" t="s">
        <v>875</v>
      </c>
      <c r="CG64" s="87" t="s">
        <v>918</v>
      </c>
      <c r="CH64" s="87" t="s">
        <v>928</v>
      </c>
      <c r="CI64" s="87" t="s">
        <v>929</v>
      </c>
      <c r="CJ64" s="88" t="s">
        <v>876</v>
      </c>
      <c r="CK64" s="86" t="s">
        <v>5474</v>
      </c>
      <c r="CL64" s="88" t="s">
        <v>877</v>
      </c>
      <c r="CM64" s="88" t="s">
        <v>878</v>
      </c>
      <c r="CN64" s="88" t="s">
        <v>879</v>
      </c>
      <c r="CO64" s="88" t="s">
        <v>880</v>
      </c>
      <c r="CP64" s="88" t="s">
        <v>930</v>
      </c>
      <c r="CQ64" s="88" t="s">
        <v>177</v>
      </c>
      <c r="CR64" s="88" t="s">
        <v>931</v>
      </c>
      <c r="CS64" s="88" t="s">
        <v>932</v>
      </c>
      <c r="CT64" s="88" t="s">
        <v>933</v>
      </c>
      <c r="CU64" s="88" t="s">
        <v>934</v>
      </c>
      <c r="CV64" s="88" t="s">
        <v>935</v>
      </c>
      <c r="CW64" s="88" t="s">
        <v>936</v>
      </c>
      <c r="CX64" s="88" t="s">
        <v>937</v>
      </c>
      <c r="CY64" s="87" t="s">
        <v>938</v>
      </c>
      <c r="CZ64" s="88" t="s">
        <v>939</v>
      </c>
      <c r="DA64" s="88" t="s">
        <v>940</v>
      </c>
      <c r="DB64" s="88" t="s">
        <v>941</v>
      </c>
      <c r="DC64" s="88" t="s">
        <v>942</v>
      </c>
      <c r="DD64" s="88" t="s">
        <v>943</v>
      </c>
      <c r="DE64" s="88" t="s">
        <v>887</v>
      </c>
      <c r="DF64" s="88" t="s">
        <v>944</v>
      </c>
      <c r="DG64" s="88" t="s">
        <v>945</v>
      </c>
      <c r="DH64" s="88" t="s">
        <v>946</v>
      </c>
      <c r="DI64" s="88" t="s">
        <v>947</v>
      </c>
      <c r="DJ64" s="88" t="s">
        <v>948</v>
      </c>
      <c r="DK64" s="88" t="s">
        <v>949</v>
      </c>
      <c r="DL64" s="88" t="s">
        <v>950</v>
      </c>
      <c r="DM64" s="87" t="s">
        <v>951</v>
      </c>
      <c r="DN64" s="88" t="s">
        <v>952</v>
      </c>
      <c r="DO64" s="88" t="s">
        <v>953</v>
      </c>
      <c r="DP64" s="88" t="s">
        <v>954</v>
      </c>
      <c r="DQ64" s="88" t="s">
        <v>955</v>
      </c>
      <c r="DR64" s="88" t="s">
        <v>889</v>
      </c>
      <c r="DS64" s="88" t="s">
        <v>890</v>
      </c>
      <c r="DT64" s="88" t="s">
        <v>891</v>
      </c>
      <c r="DU64" s="88" t="s">
        <v>892</v>
      </c>
      <c r="DV64" s="88" t="s">
        <v>956</v>
      </c>
      <c r="DW64" s="88" t="s">
        <v>4746</v>
      </c>
      <c r="DX64" s="88" t="s">
        <v>895</v>
      </c>
      <c r="DY64" s="88" t="s">
        <v>896</v>
      </c>
      <c r="DZ64" s="87" t="s">
        <v>959</v>
      </c>
      <c r="EA64" s="87" t="s">
        <v>960</v>
      </c>
      <c r="EB64" s="78" t="s">
        <v>1039</v>
      </c>
      <c r="EC64" s="87" t="s">
        <v>962</v>
      </c>
      <c r="ED64" s="87" t="s">
        <v>963</v>
      </c>
      <c r="EE64" s="87" t="s">
        <v>964</v>
      </c>
      <c r="EF64" s="87" t="s">
        <v>965</v>
      </c>
      <c r="EG64" s="87" t="s">
        <v>966</v>
      </c>
      <c r="EH64" s="67"/>
    </row>
    <row r="65" spans="1:144" x14ac:dyDescent="0.2">
      <c r="A65" s="77" t="s">
        <v>876</v>
      </c>
      <c r="B65" s="77" t="s">
        <v>4230</v>
      </c>
      <c r="C65" s="77">
        <v>4</v>
      </c>
      <c r="D65" s="77"/>
      <c r="E65" s="77">
        <v>4</v>
      </c>
      <c r="F65" s="77"/>
      <c r="G65" s="77"/>
      <c r="H65" s="77">
        <v>4</v>
      </c>
      <c r="I65" s="77">
        <v>-2</v>
      </c>
      <c r="J65" s="77">
        <v>-2</v>
      </c>
      <c r="K65" s="77">
        <v>-4</v>
      </c>
      <c r="L65" s="77"/>
      <c r="M65" s="77">
        <v>20</v>
      </c>
      <c r="N65" s="77"/>
      <c r="O65" s="77">
        <v>20</v>
      </c>
      <c r="P65" s="77">
        <v>30</v>
      </c>
      <c r="Q65" s="77">
        <v>15</v>
      </c>
      <c r="R65" s="77">
        <v>1</v>
      </c>
      <c r="S65" s="77">
        <v>4</v>
      </c>
      <c r="T65" s="77">
        <v>0.5</v>
      </c>
      <c r="U65" s="77">
        <v>40</v>
      </c>
      <c r="V65" s="12">
        <f t="shared" si="1"/>
        <v>4</v>
      </c>
      <c r="W65" s="12"/>
      <c r="X65" s="77" t="str">
        <f>Taulukko1[[#This Row],[Main Race]]</f>
        <v>Dwarf</v>
      </c>
      <c r="Z65" s="12" t="s">
        <v>4290</v>
      </c>
      <c r="AA65" s="12">
        <v>3211</v>
      </c>
      <c r="AB65" s="12">
        <v>6543</v>
      </c>
      <c r="AC65" s="12">
        <v>3211</v>
      </c>
      <c r="AD65" s="12">
        <v>4322</v>
      </c>
      <c r="AE65" s="12">
        <v>2111</v>
      </c>
      <c r="AF65" s="12">
        <v>4322</v>
      </c>
      <c r="AG65" s="12">
        <v>2111</v>
      </c>
      <c r="AH65" s="12">
        <v>7521</v>
      </c>
      <c r="AJ65" s="12"/>
      <c r="AK65" s="12" t="s">
        <v>246</v>
      </c>
      <c r="AL65" s="12" t="s">
        <v>246</v>
      </c>
      <c r="AM65" s="12" t="s">
        <v>246</v>
      </c>
      <c r="AN65" s="12" t="s">
        <v>433</v>
      </c>
      <c r="AO65" s="12" t="s">
        <v>433</v>
      </c>
      <c r="AP65" s="12" t="s">
        <v>433</v>
      </c>
      <c r="AQ65" s="12" t="s">
        <v>4171</v>
      </c>
      <c r="AR65" s="12" t="s">
        <v>246</v>
      </c>
      <c r="AS65" s="12" t="s">
        <v>246</v>
      </c>
      <c r="AT65" s="12" t="s">
        <v>246</v>
      </c>
      <c r="AU65" s="12" t="s">
        <v>246</v>
      </c>
      <c r="AV65" s="12" t="s">
        <v>246</v>
      </c>
      <c r="AW65" s="12" t="s">
        <v>246</v>
      </c>
      <c r="AX65" s="12" t="s">
        <v>246</v>
      </c>
      <c r="AY65" s="12" t="s">
        <v>246</v>
      </c>
      <c r="AZ65" s="12" t="s">
        <v>246</v>
      </c>
      <c r="BA65" s="12" t="s">
        <v>246</v>
      </c>
      <c r="BB65" s="12" t="s">
        <v>246</v>
      </c>
      <c r="BC65" s="12" t="s">
        <v>246</v>
      </c>
      <c r="BD65" s="12" t="s">
        <v>246</v>
      </c>
      <c r="BE65" s="12" t="s">
        <v>246</v>
      </c>
      <c r="BF65" s="12" t="s">
        <v>246</v>
      </c>
      <c r="BG65" s="12" t="s">
        <v>246</v>
      </c>
      <c r="BH65" s="12" t="s">
        <v>246</v>
      </c>
      <c r="BI65" s="12" t="s">
        <v>246</v>
      </c>
      <c r="BJ65" s="12" t="s">
        <v>246</v>
      </c>
      <c r="BK65" s="12" t="s">
        <v>246</v>
      </c>
      <c r="BL65" s="12" t="s">
        <v>246</v>
      </c>
      <c r="BM65" s="12" t="s">
        <v>246</v>
      </c>
      <c r="BN65" s="12" t="s">
        <v>246</v>
      </c>
      <c r="BO65" s="12" t="s">
        <v>246</v>
      </c>
      <c r="BP65" s="12" t="s">
        <v>246</v>
      </c>
      <c r="BQ65" s="12" t="s">
        <v>246</v>
      </c>
      <c r="BR65" s="12" t="s">
        <v>246</v>
      </c>
      <c r="BS65" s="12" t="s">
        <v>1132</v>
      </c>
      <c r="BT65" s="12" t="s">
        <v>246</v>
      </c>
      <c r="BU65" s="12" t="s">
        <v>534</v>
      </c>
      <c r="BV65" s="12" t="s">
        <v>246</v>
      </c>
      <c r="BW65" s="67" t="s">
        <v>246</v>
      </c>
      <c r="BX65" s="67" t="s">
        <v>246</v>
      </c>
      <c r="BY65" s="67" t="s">
        <v>246</v>
      </c>
      <c r="BZ65" s="67" t="s">
        <v>246</v>
      </c>
      <c r="CA65" s="67" t="s">
        <v>246</v>
      </c>
      <c r="CB65" s="67" t="s">
        <v>246</v>
      </c>
      <c r="CC65" s="67" t="s">
        <v>246</v>
      </c>
      <c r="CD65" s="67" t="s">
        <v>246</v>
      </c>
      <c r="CE65" s="67" t="s">
        <v>246</v>
      </c>
      <c r="CF65" s="67" t="s">
        <v>246</v>
      </c>
      <c r="CG65" s="67" t="s">
        <v>246</v>
      </c>
      <c r="CH65" s="67" t="s">
        <v>246</v>
      </c>
      <c r="CI65" s="67" t="s">
        <v>246</v>
      </c>
      <c r="CJ65" s="67" t="s">
        <v>433</v>
      </c>
      <c r="CK65" s="67" t="s">
        <v>246</v>
      </c>
      <c r="CL65" s="67" t="s">
        <v>246</v>
      </c>
      <c r="CM65" s="67" t="s">
        <v>246</v>
      </c>
      <c r="CN65" s="67" t="s">
        <v>246</v>
      </c>
      <c r="CO65" s="67" t="s">
        <v>246</v>
      </c>
      <c r="CP65" s="67" t="s">
        <v>246</v>
      </c>
      <c r="CQ65" s="67" t="s">
        <v>246</v>
      </c>
      <c r="CR65" s="67" t="s">
        <v>246</v>
      </c>
      <c r="CS65" s="67" t="s">
        <v>246</v>
      </c>
      <c r="CT65" s="67" t="s">
        <v>246</v>
      </c>
      <c r="CU65" s="67" t="s">
        <v>246</v>
      </c>
      <c r="CV65" s="67" t="s">
        <v>246</v>
      </c>
      <c r="CW65" s="67" t="s">
        <v>246</v>
      </c>
      <c r="CX65" s="67" t="s">
        <v>246</v>
      </c>
      <c r="CY65" s="67" t="s">
        <v>246</v>
      </c>
      <c r="CZ65" s="67" t="s">
        <v>246</v>
      </c>
      <c r="DA65" s="67" t="s">
        <v>246</v>
      </c>
      <c r="DB65" s="67" t="s">
        <v>246</v>
      </c>
      <c r="DC65" s="67" t="s">
        <v>246</v>
      </c>
      <c r="DD65" s="67" t="s">
        <v>246</v>
      </c>
      <c r="DE65" s="67" t="s">
        <v>1132</v>
      </c>
      <c r="DF65" s="67" t="s">
        <v>1132</v>
      </c>
      <c r="DG65" s="67" t="s">
        <v>1132</v>
      </c>
      <c r="DH65" s="67" t="s">
        <v>1132</v>
      </c>
      <c r="DI65" s="67" t="s">
        <v>246</v>
      </c>
      <c r="DJ65" s="67" t="s">
        <v>246</v>
      </c>
      <c r="DK65" s="67" t="s">
        <v>246</v>
      </c>
      <c r="DL65" s="67" t="s">
        <v>246</v>
      </c>
      <c r="DM65" s="67" t="s">
        <v>246</v>
      </c>
      <c r="DN65" s="67" t="s">
        <v>246</v>
      </c>
      <c r="DO65" s="67" t="s">
        <v>246</v>
      </c>
      <c r="DP65" s="67" t="s">
        <v>246</v>
      </c>
      <c r="DQ65" s="67" t="s">
        <v>246</v>
      </c>
      <c r="DR65" s="67"/>
      <c r="DS65" s="67"/>
      <c r="DT65" s="67"/>
      <c r="DU65" s="67" t="s">
        <v>1133</v>
      </c>
      <c r="DV65" s="67" t="s">
        <v>1133</v>
      </c>
      <c r="DW65" s="67" t="s">
        <v>534</v>
      </c>
      <c r="DX65" s="67" t="s">
        <v>246</v>
      </c>
      <c r="DY65" s="67"/>
      <c r="DZ65" s="67" t="s">
        <v>5503</v>
      </c>
      <c r="EA65" s="67" t="s">
        <v>5503</v>
      </c>
      <c r="EB65" s="67" t="s">
        <v>246</v>
      </c>
      <c r="EC65" s="67" t="s">
        <v>246</v>
      </c>
      <c r="ED65" s="67" t="s">
        <v>5503</v>
      </c>
      <c r="EE65" s="67" t="s">
        <v>5503</v>
      </c>
      <c r="EF65" s="67"/>
      <c r="EG65" s="67"/>
      <c r="EH65" s="67">
        <v>2</v>
      </c>
    </row>
    <row r="66" spans="1:144" x14ac:dyDescent="0.2">
      <c r="A66" s="77" t="s">
        <v>4055</v>
      </c>
      <c r="B66" s="77" t="s">
        <v>4059</v>
      </c>
      <c r="C66" s="77">
        <v>2</v>
      </c>
      <c r="D66" s="77">
        <v>2</v>
      </c>
      <c r="E66" s="77"/>
      <c r="F66" s="77"/>
      <c r="G66" s="77"/>
      <c r="H66" s="77">
        <v>2</v>
      </c>
      <c r="I66" s="77">
        <v>2</v>
      </c>
      <c r="J66" s="77">
        <v>-2</v>
      </c>
      <c r="K66" s="77">
        <v>2</v>
      </c>
      <c r="L66" s="77">
        <v>-2</v>
      </c>
      <c r="M66" s="77"/>
      <c r="N66" s="77"/>
      <c r="O66" s="77"/>
      <c r="P66" s="77"/>
      <c r="Q66" s="77"/>
      <c r="R66" s="77">
        <v>1</v>
      </c>
      <c r="S66" s="77">
        <v>5</v>
      </c>
      <c r="T66" s="77">
        <v>1</v>
      </c>
      <c r="U66" s="77">
        <v>55</v>
      </c>
      <c r="V66" s="12">
        <f t="shared" si="1"/>
        <v>6</v>
      </c>
      <c r="W66" s="12"/>
      <c r="X66" s="77" t="str">
        <f>Taulukko1[[#This Row],[Main Race]]</f>
        <v>Human</v>
      </c>
      <c r="Z66" s="12" t="s">
        <v>4059</v>
      </c>
      <c r="AA66" s="12">
        <v>6543</v>
      </c>
      <c r="AB66" s="12">
        <v>6543</v>
      </c>
      <c r="AC66" s="12">
        <v>7654</v>
      </c>
      <c r="AD66" s="12">
        <v>6543</v>
      </c>
      <c r="AE66" s="12">
        <v>6543</v>
      </c>
      <c r="AF66" s="12">
        <v>6543</v>
      </c>
      <c r="AG66" s="12">
        <v>6543</v>
      </c>
      <c r="AH66" s="12">
        <v>6521</v>
      </c>
      <c r="AJ66" s="12"/>
      <c r="AK66" s="12"/>
      <c r="AL66" s="67"/>
      <c r="AM66" s="67"/>
      <c r="AN66" s="12"/>
      <c r="AO66" s="12"/>
      <c r="AP66" s="12"/>
      <c r="AQ66" s="12"/>
      <c r="AR66" s="12"/>
      <c r="AS66" s="12"/>
      <c r="AT66" s="12"/>
      <c r="AU66" s="12"/>
      <c r="AV66" s="12"/>
      <c r="AW66" s="12"/>
      <c r="AX66" s="12"/>
      <c r="AY66" s="12"/>
      <c r="AZ66" s="12"/>
      <c r="BA66" s="12"/>
      <c r="BB66" s="12"/>
      <c r="BC66" s="12"/>
      <c r="BD66" s="12"/>
      <c r="BE66" s="12"/>
      <c r="BF66" s="12"/>
      <c r="BG66" s="12"/>
      <c r="BH66" s="12"/>
      <c r="BI66" s="12"/>
      <c r="BJ66" s="12"/>
      <c r="BK66" s="12"/>
      <c r="BL66" s="12"/>
      <c r="BM66" s="12"/>
      <c r="BN66" s="12"/>
      <c r="BO66" s="12"/>
      <c r="BP66" s="12"/>
      <c r="BQ66" s="12"/>
      <c r="BR66" s="12"/>
      <c r="BS66" s="12" t="s">
        <v>1134</v>
      </c>
      <c r="BT66" s="12"/>
      <c r="BU66" s="12" t="s">
        <v>535</v>
      </c>
      <c r="BV66" s="12"/>
      <c r="BW66" s="67"/>
      <c r="BX66" s="67"/>
      <c r="BY66" s="67"/>
      <c r="BZ66" s="67"/>
      <c r="CA66" s="67"/>
      <c r="CB66" s="67"/>
      <c r="CC66" s="67"/>
      <c r="CD66" s="67"/>
      <c r="CE66" s="67"/>
      <c r="CF66" s="67"/>
      <c r="CG66" s="67"/>
      <c r="CH66" s="67"/>
      <c r="CI66" s="67"/>
      <c r="CJ66" s="67"/>
      <c r="CK66" s="67"/>
      <c r="CL66" s="67"/>
      <c r="CM66" s="67"/>
      <c r="CN66" s="67"/>
      <c r="CO66" s="67"/>
      <c r="CP66" s="67"/>
      <c r="CQ66" s="67"/>
      <c r="CR66" s="67"/>
      <c r="CS66" s="67"/>
      <c r="CT66" s="67"/>
      <c r="CU66" s="67"/>
      <c r="CV66" s="67"/>
      <c r="CW66" s="67"/>
      <c r="CX66" s="67"/>
      <c r="CY66" s="67"/>
      <c r="CZ66" s="67"/>
      <c r="DA66" s="67"/>
      <c r="DB66" s="67"/>
      <c r="DC66" s="67"/>
      <c r="DD66" s="67"/>
      <c r="DE66" s="67" t="s">
        <v>1134</v>
      </c>
      <c r="DF66" s="67" t="s">
        <v>1134</v>
      </c>
      <c r="DG66" s="67" t="s">
        <v>1134</v>
      </c>
      <c r="DH66" s="67" t="s">
        <v>1134</v>
      </c>
      <c r="DI66" s="67"/>
      <c r="DJ66" s="67"/>
      <c r="DK66" s="67"/>
      <c r="DL66" s="67"/>
      <c r="DM66" s="67"/>
      <c r="DN66" s="67"/>
      <c r="DO66" s="67"/>
      <c r="DP66" s="67"/>
      <c r="DQ66" s="67"/>
      <c r="DR66" s="67"/>
      <c r="DS66" s="67"/>
      <c r="DT66" s="67"/>
      <c r="DU66" s="67"/>
      <c r="DV66" s="67"/>
      <c r="DW66" s="67" t="s">
        <v>535</v>
      </c>
      <c r="DX66" s="67"/>
      <c r="DY66" s="67"/>
      <c r="DZ66" s="67" t="s">
        <v>5504</v>
      </c>
      <c r="EA66" s="67" t="s">
        <v>5504</v>
      </c>
      <c r="EB66" s="67"/>
      <c r="EC66" s="67"/>
      <c r="ED66" s="67" t="s">
        <v>5504</v>
      </c>
      <c r="EE66" s="67" t="s">
        <v>5504</v>
      </c>
      <c r="EF66" s="67"/>
      <c r="EG66" s="67"/>
      <c r="EH66" s="67">
        <v>3</v>
      </c>
    </row>
    <row r="67" spans="1:144" x14ac:dyDescent="0.2">
      <c r="A67" s="77" t="s">
        <v>4055</v>
      </c>
      <c r="B67" s="77" t="s">
        <v>4068</v>
      </c>
      <c r="C67" s="77">
        <v>3</v>
      </c>
      <c r="D67" s="77"/>
      <c r="E67" s="77">
        <v>2</v>
      </c>
      <c r="F67" s="77"/>
      <c r="G67" s="77"/>
      <c r="H67" s="77">
        <v>3</v>
      </c>
      <c r="I67" s="77"/>
      <c r="J67" s="77">
        <v>-2</v>
      </c>
      <c r="K67" s="77">
        <v>-2</v>
      </c>
      <c r="L67" s="77"/>
      <c r="M67" s="77"/>
      <c r="N67" s="77"/>
      <c r="O67" s="77"/>
      <c r="P67" s="77"/>
      <c r="Q67" s="77"/>
      <c r="R67" s="77">
        <v>1</v>
      </c>
      <c r="S67" s="77">
        <v>6</v>
      </c>
      <c r="T67" s="77">
        <v>1</v>
      </c>
      <c r="U67" s="77">
        <v>55</v>
      </c>
      <c r="V67" s="12">
        <f t="shared" ref="V67:V102" si="5">SUM(C67:L67)</f>
        <v>4</v>
      </c>
      <c r="W67" s="12"/>
      <c r="X67" s="77" t="str">
        <f>Taulukko1[[#This Row],[Main Race]]</f>
        <v>Human</v>
      </c>
      <c r="Z67" s="12" t="s">
        <v>4068</v>
      </c>
      <c r="AA67" s="12">
        <v>6543</v>
      </c>
      <c r="AB67" s="12">
        <v>6543</v>
      </c>
      <c r="AC67" s="12">
        <v>7654</v>
      </c>
      <c r="AD67" s="12">
        <v>6543</v>
      </c>
      <c r="AE67" s="12">
        <v>6543</v>
      </c>
      <c r="AF67" s="12">
        <v>6543</v>
      </c>
      <c r="AG67" s="12">
        <v>6543</v>
      </c>
      <c r="AH67" s="12">
        <v>6531</v>
      </c>
      <c r="AJ67" s="12"/>
      <c r="AK67" s="12"/>
      <c r="AL67" s="67"/>
      <c r="AM67" s="67"/>
      <c r="AN67" s="12"/>
      <c r="AO67" s="12"/>
      <c r="AP67" s="12"/>
      <c r="AQ67" s="12"/>
      <c r="AR67" s="12"/>
      <c r="AS67" s="12"/>
      <c r="AT67" s="12"/>
      <c r="AU67" s="12"/>
      <c r="AV67" s="12"/>
      <c r="AW67" s="12"/>
      <c r="AX67" s="12"/>
      <c r="AY67" s="12"/>
      <c r="AZ67" s="12"/>
      <c r="BA67" s="12"/>
      <c r="BB67" s="12"/>
      <c r="BC67" s="12"/>
      <c r="BD67" s="12"/>
      <c r="BE67" s="12"/>
      <c r="BF67" s="12"/>
      <c r="BG67" s="12"/>
      <c r="BH67" s="12"/>
      <c r="BI67" s="12"/>
      <c r="BJ67" s="12"/>
      <c r="BK67" s="12"/>
      <c r="BL67" s="12"/>
      <c r="BM67" s="12"/>
      <c r="BN67" s="12"/>
      <c r="BO67" s="12"/>
      <c r="BP67" s="12"/>
      <c r="BQ67" s="12"/>
      <c r="BR67" s="12"/>
      <c r="BS67" s="12" t="s">
        <v>1135</v>
      </c>
      <c r="BT67" s="12"/>
      <c r="BU67" s="12" t="s">
        <v>536</v>
      </c>
      <c r="BV67" s="12"/>
      <c r="BW67" s="67"/>
      <c r="BX67" s="67"/>
      <c r="BY67" s="67"/>
      <c r="BZ67" s="67"/>
      <c r="CA67" s="67"/>
      <c r="CB67" s="67"/>
      <c r="CC67" s="67"/>
      <c r="CD67" s="67"/>
      <c r="CE67" s="67"/>
      <c r="CF67" s="67"/>
      <c r="CG67" s="67"/>
      <c r="CH67" s="67"/>
      <c r="CI67" s="67"/>
      <c r="CJ67" s="67"/>
      <c r="CK67" s="67"/>
      <c r="CL67" s="67"/>
      <c r="CM67" s="67"/>
      <c r="CN67" s="67"/>
      <c r="CO67" s="67"/>
      <c r="CP67" s="67"/>
      <c r="CQ67" s="67"/>
      <c r="CR67" s="67"/>
      <c r="CS67" s="67"/>
      <c r="CT67" s="67"/>
      <c r="CU67" s="67"/>
      <c r="CV67" s="67"/>
      <c r="CW67" s="67"/>
      <c r="CX67" s="67"/>
      <c r="CY67" s="67"/>
      <c r="CZ67" s="67"/>
      <c r="DA67" s="67"/>
      <c r="DB67" s="67"/>
      <c r="DC67" s="67"/>
      <c r="DD67" s="67"/>
      <c r="DE67" s="67" t="s">
        <v>1135</v>
      </c>
      <c r="DF67" s="67" t="s">
        <v>1135</v>
      </c>
      <c r="DG67" s="67" t="s">
        <v>1135</v>
      </c>
      <c r="DH67" s="67" t="s">
        <v>1135</v>
      </c>
      <c r="DI67" s="67"/>
      <c r="DJ67" s="67"/>
      <c r="DK67" s="67"/>
      <c r="DL67" s="67"/>
      <c r="DM67" s="67"/>
      <c r="DN67" s="67"/>
      <c r="DO67" s="67"/>
      <c r="DP67" s="67"/>
      <c r="DQ67" s="67"/>
      <c r="DR67" s="67"/>
      <c r="DS67" s="67"/>
      <c r="DT67" s="67"/>
      <c r="DU67" s="67"/>
      <c r="DV67" s="67"/>
      <c r="DW67" s="67" t="s">
        <v>536</v>
      </c>
      <c r="DX67" s="67"/>
      <c r="DY67" s="67"/>
      <c r="DZ67" s="67" t="s">
        <v>5505</v>
      </c>
      <c r="EA67" s="67" t="s">
        <v>5505</v>
      </c>
      <c r="EB67" s="67"/>
      <c r="EC67" s="67"/>
      <c r="ED67" s="67" t="s">
        <v>5505</v>
      </c>
      <c r="EE67" s="67" t="s">
        <v>5505</v>
      </c>
      <c r="EF67" s="67"/>
      <c r="EG67" s="67"/>
      <c r="EH67" s="67">
        <v>4</v>
      </c>
      <c r="EN67" s="67"/>
    </row>
    <row r="68" spans="1:144" x14ac:dyDescent="0.2">
      <c r="A68" s="77" t="s">
        <v>3942</v>
      </c>
      <c r="B68" s="77" t="s">
        <v>877</v>
      </c>
      <c r="C68" s="77">
        <v>4</v>
      </c>
      <c r="D68" s="77">
        <v>6</v>
      </c>
      <c r="E68" s="77">
        <v>-5</v>
      </c>
      <c r="F68" s="77">
        <v>2</v>
      </c>
      <c r="G68" s="77">
        <v>2</v>
      </c>
      <c r="H68" s="77">
        <v>2</v>
      </c>
      <c r="I68" s="77">
        <v>6</v>
      </c>
      <c r="J68" s="77">
        <v>6</v>
      </c>
      <c r="K68" s="77">
        <v>2</v>
      </c>
      <c r="L68" s="77">
        <v>2</v>
      </c>
      <c r="M68" s="77"/>
      <c r="N68" s="77"/>
      <c r="O68" s="77"/>
      <c r="P68" s="77">
        <v>10</v>
      </c>
      <c r="Q68" s="77">
        <v>100</v>
      </c>
      <c r="R68" s="77">
        <v>2</v>
      </c>
      <c r="S68" s="77">
        <v>1</v>
      </c>
      <c r="T68" s="77">
        <v>3</v>
      </c>
      <c r="U68" s="77">
        <v>5</v>
      </c>
      <c r="V68" s="12">
        <f t="shared" si="5"/>
        <v>27</v>
      </c>
      <c r="W68" s="12"/>
      <c r="X68" s="77" t="str">
        <f>Taulukko1[[#This Row],[Main Race]]</f>
        <v>Elf</v>
      </c>
      <c r="Z68" s="12" t="s">
        <v>877</v>
      </c>
      <c r="AA68" s="12">
        <v>7654</v>
      </c>
      <c r="AB68" s="12">
        <v>6543</v>
      </c>
      <c r="AC68" s="12">
        <v>6543</v>
      </c>
      <c r="AD68" s="12">
        <v>6543</v>
      </c>
      <c r="AE68" s="12">
        <v>6543</v>
      </c>
      <c r="AF68" s="12">
        <v>6543</v>
      </c>
      <c r="AG68" s="12">
        <v>6543</v>
      </c>
      <c r="AH68" s="12">
        <v>7321</v>
      </c>
      <c r="AJ68" s="12"/>
      <c r="AK68" s="12"/>
      <c r="AL68" s="67"/>
      <c r="AM68" s="67"/>
      <c r="AN68" s="12"/>
      <c r="AO68" s="12"/>
      <c r="AP68" s="12"/>
      <c r="AQ68" s="12"/>
      <c r="AR68" s="12"/>
      <c r="AS68" s="12"/>
      <c r="AT68" s="12"/>
      <c r="AU68" s="12"/>
      <c r="AV68" s="12"/>
      <c r="AW68" s="12"/>
      <c r="AX68" s="12"/>
      <c r="AY68" s="12"/>
      <c r="AZ68" s="12"/>
      <c r="BA68" s="12"/>
      <c r="BB68" s="12"/>
      <c r="BC68" s="12"/>
      <c r="BD68" s="12"/>
      <c r="BE68" s="12"/>
      <c r="BF68" s="12"/>
      <c r="BG68" s="12"/>
      <c r="BH68" s="12"/>
      <c r="BI68" s="12"/>
      <c r="BJ68" s="12"/>
      <c r="BK68" s="12"/>
      <c r="BL68" s="12"/>
      <c r="BM68" s="12"/>
      <c r="BN68" s="12"/>
      <c r="BO68" s="12"/>
      <c r="BP68" s="12"/>
      <c r="BQ68" s="12"/>
      <c r="BR68" s="12"/>
      <c r="BS68" s="12"/>
      <c r="BT68" s="12"/>
      <c r="BU68" s="12"/>
      <c r="BV68" s="12"/>
      <c r="BW68" s="67"/>
      <c r="BX68" s="67"/>
      <c r="BY68" s="67"/>
      <c r="BZ68" s="67"/>
      <c r="CA68" s="67"/>
      <c r="CB68" s="67"/>
      <c r="CC68" s="67"/>
      <c r="CD68" s="67"/>
      <c r="CE68" s="67"/>
      <c r="CF68" s="67"/>
      <c r="CG68" s="67"/>
      <c r="CH68" s="67"/>
      <c r="CI68" s="67"/>
      <c r="CJ68" s="67"/>
      <c r="CK68" s="67"/>
      <c r="CL68" s="67"/>
      <c r="CM68" s="67"/>
      <c r="CN68" s="67"/>
      <c r="CO68" s="67"/>
      <c r="CP68" s="67"/>
      <c r="CQ68" s="67"/>
      <c r="CR68" s="67"/>
      <c r="CS68" s="67"/>
      <c r="CT68" s="67"/>
      <c r="CU68" s="67"/>
      <c r="CV68" s="67"/>
      <c r="CW68" s="67"/>
      <c r="CX68" s="67"/>
      <c r="CY68" s="67"/>
      <c r="CZ68" s="67"/>
      <c r="DA68" s="67"/>
      <c r="DB68" s="67"/>
      <c r="DC68" s="67"/>
      <c r="DD68" s="67"/>
      <c r="DE68" s="67"/>
      <c r="DF68" s="67"/>
      <c r="DG68" s="67"/>
      <c r="DH68" s="67"/>
      <c r="DI68" s="67"/>
      <c r="DJ68" s="67"/>
      <c r="DK68" s="67"/>
      <c r="DL68" s="67"/>
      <c r="DM68" s="67"/>
      <c r="DN68" s="67"/>
      <c r="DO68" s="67"/>
      <c r="DP68" s="67"/>
      <c r="DQ68" s="67"/>
      <c r="DR68" s="67"/>
      <c r="DS68" s="67"/>
      <c r="DT68" s="67"/>
      <c r="DU68" s="67"/>
      <c r="DV68" s="67"/>
      <c r="DW68" s="67"/>
      <c r="DX68" s="67"/>
      <c r="DY68" s="67"/>
      <c r="DZ68" s="67" t="s">
        <v>5506</v>
      </c>
      <c r="EA68" s="67" t="s">
        <v>5506</v>
      </c>
      <c r="EB68" s="67"/>
      <c r="EC68" s="67"/>
      <c r="ED68" s="67" t="s">
        <v>5506</v>
      </c>
      <c r="EE68" s="67" t="s">
        <v>5506</v>
      </c>
      <c r="EF68" s="67"/>
      <c r="EG68" s="67"/>
      <c r="EH68" s="67">
        <v>5</v>
      </c>
      <c r="EN68" s="370"/>
    </row>
    <row r="69" spans="1:144" x14ac:dyDescent="0.2">
      <c r="A69" s="77" t="s">
        <v>881</v>
      </c>
      <c r="B69" s="77" t="s">
        <v>932</v>
      </c>
      <c r="C69" s="77">
        <v>2</v>
      </c>
      <c r="D69" s="77"/>
      <c r="E69" s="77">
        <v>2</v>
      </c>
      <c r="F69" s="77"/>
      <c r="G69" s="77"/>
      <c r="H69" s="77">
        <v>2</v>
      </c>
      <c r="I69" s="77"/>
      <c r="J69" s="77">
        <v>2</v>
      </c>
      <c r="K69" s="77"/>
      <c r="L69" s="77"/>
      <c r="M69" s="77"/>
      <c r="N69" s="77"/>
      <c r="O69" s="77"/>
      <c r="P69" s="77"/>
      <c r="Q69" s="77"/>
      <c r="R69" s="77">
        <v>11</v>
      </c>
      <c r="S69" s="77">
        <v>5</v>
      </c>
      <c r="T69" s="77">
        <v>0.9</v>
      </c>
      <c r="U69" s="77">
        <f>S69*10</f>
        <v>50</v>
      </c>
      <c r="V69" s="12">
        <f t="shared" si="5"/>
        <v>8</v>
      </c>
      <c r="W69" s="12"/>
      <c r="X69" s="77" t="str">
        <f>Taulukko1[[#This Row],[Main Race]]</f>
        <v>Eriedain</v>
      </c>
      <c r="Z69" s="12" t="s">
        <v>932</v>
      </c>
      <c r="AA69" s="12">
        <v>6543</v>
      </c>
      <c r="AB69" s="12">
        <v>6543</v>
      </c>
      <c r="AC69" s="12">
        <v>7654</v>
      </c>
      <c r="AD69" s="12">
        <v>6543</v>
      </c>
      <c r="AE69" s="12">
        <v>6543</v>
      </c>
      <c r="AF69" s="12">
        <v>6543</v>
      </c>
      <c r="AG69" s="12">
        <v>6543</v>
      </c>
      <c r="AH69" s="12">
        <v>7521</v>
      </c>
      <c r="AJ69" s="12"/>
      <c r="AK69" s="12"/>
      <c r="AL69" s="67"/>
      <c r="AM69" s="67"/>
      <c r="AN69" s="12"/>
      <c r="AO69" s="12"/>
      <c r="AP69" s="12"/>
      <c r="AQ69" s="12"/>
      <c r="AR69" s="12"/>
      <c r="AS69" s="12"/>
      <c r="AT69" s="12"/>
      <c r="AU69" s="12"/>
      <c r="AV69" s="12"/>
      <c r="AW69" s="12"/>
      <c r="AX69" s="12"/>
      <c r="AY69" s="12"/>
      <c r="AZ69" s="12"/>
      <c r="BA69" s="12"/>
      <c r="BB69" s="12"/>
      <c r="BC69" s="12"/>
      <c r="BD69" s="12"/>
      <c r="BE69" s="12"/>
      <c r="BF69" s="12"/>
      <c r="BG69" s="12"/>
      <c r="BH69" s="12"/>
      <c r="BI69" s="12"/>
      <c r="BJ69" s="12"/>
      <c r="BK69" s="12"/>
      <c r="BL69" s="12"/>
      <c r="BM69" s="12"/>
      <c r="BN69" s="12"/>
      <c r="BO69" s="12"/>
      <c r="BP69" s="12"/>
      <c r="BQ69" s="12"/>
      <c r="BR69" s="12"/>
      <c r="BS69" s="12"/>
      <c r="BT69" s="12"/>
      <c r="BU69" s="12"/>
      <c r="BV69" s="12"/>
      <c r="BW69" s="67"/>
      <c r="BX69" s="67"/>
      <c r="BY69" s="67"/>
      <c r="BZ69" s="67"/>
      <c r="CA69" s="67"/>
      <c r="CB69" s="67"/>
      <c r="CC69" s="67"/>
      <c r="CD69" s="67"/>
      <c r="CE69" s="67"/>
      <c r="CF69" s="67"/>
      <c r="CG69" s="67"/>
      <c r="CH69" s="67"/>
      <c r="CI69" s="67"/>
      <c r="CJ69" s="67"/>
      <c r="CK69" s="67"/>
      <c r="CL69" s="67"/>
      <c r="CM69" s="67"/>
      <c r="CN69" s="67"/>
      <c r="CO69" s="67"/>
      <c r="CP69" s="67"/>
      <c r="CQ69" s="67"/>
      <c r="CR69" s="67"/>
      <c r="CS69" s="67"/>
      <c r="CT69" s="67"/>
      <c r="CU69" s="67"/>
      <c r="CV69" s="67"/>
      <c r="CW69" s="67"/>
      <c r="CX69" s="67"/>
      <c r="CY69" s="67"/>
      <c r="CZ69" s="67"/>
      <c r="DA69" s="67"/>
      <c r="DB69" s="67"/>
      <c r="DC69" s="67"/>
      <c r="DD69" s="67"/>
      <c r="DE69" s="67"/>
      <c r="DF69" s="67"/>
      <c r="DG69" s="67"/>
      <c r="DH69" s="67"/>
      <c r="DI69" s="67"/>
      <c r="DJ69" s="67"/>
      <c r="DK69" s="67"/>
      <c r="DL69" s="67"/>
      <c r="DM69" s="67"/>
      <c r="DN69" s="67"/>
      <c r="DO69" s="67"/>
      <c r="DP69" s="67"/>
      <c r="DQ69" s="67"/>
      <c r="DR69" s="67"/>
      <c r="DS69" s="67"/>
      <c r="DT69" s="67"/>
      <c r="DU69" s="67"/>
      <c r="DV69" s="67"/>
      <c r="DW69" s="67"/>
      <c r="DX69" s="67"/>
      <c r="DY69" s="67"/>
      <c r="DZ69" s="67"/>
      <c r="EA69" s="67"/>
      <c r="EB69" s="67"/>
      <c r="EC69" s="67"/>
      <c r="ED69" s="67"/>
      <c r="EE69" s="67"/>
      <c r="EF69" s="67"/>
      <c r="EN69" s="370"/>
    </row>
    <row r="70" spans="1:144" x14ac:dyDescent="0.2">
      <c r="A70" s="77" t="s">
        <v>888</v>
      </c>
      <c r="B70" s="77" t="s">
        <v>955</v>
      </c>
      <c r="C70" s="77"/>
      <c r="D70" s="77"/>
      <c r="E70" s="77">
        <v>2</v>
      </c>
      <c r="F70" s="77"/>
      <c r="G70" s="77"/>
      <c r="H70" s="77">
        <v>2</v>
      </c>
      <c r="I70" s="77"/>
      <c r="J70" s="77">
        <v>-2</v>
      </c>
      <c r="K70" s="77">
        <v>2</v>
      </c>
      <c r="L70" s="77"/>
      <c r="M70" s="77"/>
      <c r="N70" s="77"/>
      <c r="O70" s="77"/>
      <c r="P70" s="77"/>
      <c r="Q70" s="77"/>
      <c r="R70" s="77">
        <v>12</v>
      </c>
      <c r="S70" s="77">
        <v>6</v>
      </c>
      <c r="T70" s="77">
        <v>1</v>
      </c>
      <c r="U70" s="77">
        <v>50</v>
      </c>
      <c r="V70" s="12">
        <f t="shared" si="5"/>
        <v>4</v>
      </c>
      <c r="W70" s="12"/>
      <c r="X70" s="77" t="str">
        <f>Taulukko1[[#This Row],[Main Race]]</f>
        <v>Talatherim</v>
      </c>
      <c r="Z70" s="12" t="s">
        <v>955</v>
      </c>
      <c r="AA70" s="12">
        <v>6543</v>
      </c>
      <c r="AB70" s="12">
        <v>6543</v>
      </c>
      <c r="AC70" s="12">
        <v>7654</v>
      </c>
      <c r="AD70" s="12">
        <v>6543</v>
      </c>
      <c r="AE70" s="12">
        <v>6543</v>
      </c>
      <c r="AF70" s="12">
        <v>6543</v>
      </c>
      <c r="AG70" s="12">
        <v>6543</v>
      </c>
      <c r="AH70" s="12">
        <v>6421</v>
      </c>
      <c r="AJ70" s="12"/>
      <c r="AK70" s="12"/>
      <c r="AL70" s="12"/>
      <c r="AM70" s="12"/>
      <c r="AN70" s="12"/>
      <c r="AO70" s="12"/>
      <c r="AP70" s="12"/>
      <c r="AQ70" s="12"/>
      <c r="AR70" s="12"/>
      <c r="AS70" s="12"/>
      <c r="AT70" s="12"/>
      <c r="AU70" s="12"/>
      <c r="AV70" s="12"/>
      <c r="AW70" s="12"/>
      <c r="AX70" s="12"/>
      <c r="AY70" s="12"/>
      <c r="AZ70" s="12"/>
      <c r="BA70" s="12"/>
      <c r="BB70" s="12"/>
      <c r="BC70" s="12"/>
      <c r="BD70" s="12"/>
      <c r="BE70" s="12"/>
      <c r="BF70" s="12"/>
      <c r="BG70" s="12"/>
      <c r="BH70" s="12"/>
      <c r="BI70" s="12"/>
      <c r="BJ70" s="12"/>
      <c r="BK70" s="12"/>
      <c r="BL70" s="12"/>
      <c r="BM70" s="12"/>
      <c r="BN70" s="12"/>
      <c r="BO70" s="12"/>
      <c r="BP70" s="12"/>
      <c r="BQ70" s="12"/>
      <c r="BR70" s="12"/>
      <c r="BS70" s="12"/>
      <c r="BT70" s="12"/>
      <c r="BU70" s="12"/>
      <c r="BV70" s="12"/>
      <c r="BW70" s="67"/>
      <c r="BX70" s="67"/>
      <c r="BY70" s="67"/>
      <c r="BZ70" s="67"/>
      <c r="CA70" s="67"/>
      <c r="CB70" s="67"/>
      <c r="CC70" s="67"/>
      <c r="CD70" s="67"/>
      <c r="CE70" s="67"/>
      <c r="CF70" s="67"/>
      <c r="CG70" s="67"/>
      <c r="CH70" s="67"/>
      <c r="CI70" s="67"/>
      <c r="CJ70" s="67"/>
      <c r="CK70" s="67"/>
      <c r="CL70" s="67"/>
      <c r="CM70" s="67"/>
      <c r="CN70" s="67"/>
      <c r="CO70" s="67"/>
      <c r="CP70" s="67"/>
      <c r="CQ70" s="67"/>
      <c r="CR70" s="67"/>
      <c r="CS70" s="67"/>
      <c r="CT70" s="67"/>
      <c r="CU70" s="67"/>
      <c r="CV70" s="67"/>
      <c r="CW70" s="67"/>
      <c r="CX70" s="67"/>
      <c r="CY70" s="67"/>
      <c r="CZ70" s="67"/>
      <c r="DA70" s="67"/>
      <c r="DB70" s="67"/>
      <c r="DC70" s="67"/>
      <c r="DD70" s="67"/>
      <c r="DE70" s="67"/>
      <c r="DF70" s="67"/>
      <c r="DG70" s="67"/>
      <c r="DH70" s="67"/>
      <c r="DI70" s="67"/>
      <c r="DJ70" s="67"/>
      <c r="DK70" s="67"/>
      <c r="DL70" s="67"/>
      <c r="DM70" s="67"/>
      <c r="DN70" s="67"/>
      <c r="DO70" s="67"/>
      <c r="DP70" s="67"/>
      <c r="DQ70" s="67"/>
      <c r="DR70" s="67"/>
      <c r="DS70" s="67"/>
      <c r="DT70" s="67"/>
      <c r="DU70" s="67"/>
      <c r="DV70" s="67"/>
      <c r="DW70" s="67"/>
      <c r="DX70" s="67"/>
      <c r="DY70" s="67"/>
      <c r="DZ70" s="67"/>
      <c r="EA70" s="67"/>
      <c r="EB70" s="67"/>
      <c r="EC70" s="67"/>
      <c r="ED70" s="67"/>
      <c r="EE70" s="67"/>
      <c r="EF70" s="67"/>
    </row>
    <row r="71" spans="1:144" x14ac:dyDescent="0.2">
      <c r="A71" s="77" t="s">
        <v>992</v>
      </c>
      <c r="B71" s="77" t="s">
        <v>962</v>
      </c>
      <c r="C71" s="77">
        <v>14</v>
      </c>
      <c r="D71" s="77">
        <v>-2</v>
      </c>
      <c r="E71" s="77"/>
      <c r="F71" s="77">
        <v>-2</v>
      </c>
      <c r="G71" s="77">
        <v>-2</v>
      </c>
      <c r="H71" s="77">
        <v>14</v>
      </c>
      <c r="I71" s="77"/>
      <c r="J71" s="77">
        <v>-4</v>
      </c>
      <c r="K71" s="77">
        <v>-4</v>
      </c>
      <c r="L71" s="77">
        <v>-6</v>
      </c>
      <c r="M71" s="77"/>
      <c r="N71" s="77"/>
      <c r="O71" s="77"/>
      <c r="P71" s="77">
        <v>20</v>
      </c>
      <c r="Q71" s="77">
        <v>10</v>
      </c>
      <c r="R71" s="77">
        <v>1</v>
      </c>
      <c r="S71" s="77">
        <v>2</v>
      </c>
      <c r="T71" s="77">
        <v>0.5</v>
      </c>
      <c r="U71" s="77">
        <f>S71*10</f>
        <v>20</v>
      </c>
      <c r="V71" s="12">
        <f t="shared" si="5"/>
        <v>8</v>
      </c>
      <c r="W71" s="12"/>
      <c r="X71" s="77" t="str">
        <f>Taulukko1[[#This Row],[Main Race]]</f>
        <v>Troll</v>
      </c>
      <c r="Z71" s="12" t="s">
        <v>962</v>
      </c>
      <c r="AA71" s="12">
        <v>2111</v>
      </c>
      <c r="AB71" s="12">
        <v>2111</v>
      </c>
      <c r="AC71" s="12">
        <v>2111</v>
      </c>
      <c r="AD71" s="12">
        <v>2111</v>
      </c>
      <c r="AE71" s="12">
        <v>2111</v>
      </c>
      <c r="AF71" s="12">
        <v>2111</v>
      </c>
      <c r="AG71" s="12">
        <v>2111</v>
      </c>
      <c r="AH71" s="12">
        <v>9853</v>
      </c>
      <c r="AJ71" s="20" t="s">
        <v>4744</v>
      </c>
      <c r="AK71" s="77" t="s">
        <v>4062</v>
      </c>
      <c r="AL71" s="77" t="s">
        <v>897</v>
      </c>
      <c r="AM71" s="77" t="s">
        <v>4747</v>
      </c>
      <c r="AN71" s="77" t="s">
        <v>876</v>
      </c>
      <c r="AO71" s="77" t="s">
        <v>4748</v>
      </c>
      <c r="AP71" s="77" t="s">
        <v>4749</v>
      </c>
      <c r="AQ71" s="77" t="s">
        <v>3942</v>
      </c>
      <c r="AR71" s="77" t="s">
        <v>4750</v>
      </c>
      <c r="AS71" s="77" t="s">
        <v>4751</v>
      </c>
      <c r="AT71" s="77" t="s">
        <v>4752</v>
      </c>
      <c r="AU71" s="77" t="s">
        <v>4753</v>
      </c>
      <c r="AV71" s="77" t="s">
        <v>4754</v>
      </c>
      <c r="AW71" s="77" t="s">
        <v>4053</v>
      </c>
      <c r="AX71" s="77" t="s">
        <v>4755</v>
      </c>
      <c r="AY71" s="77" t="s">
        <v>4756</v>
      </c>
      <c r="AZ71" s="77" t="s">
        <v>886</v>
      </c>
      <c r="BA71" s="77" t="s">
        <v>4757</v>
      </c>
      <c r="BB71" s="77" t="s">
        <v>4758</v>
      </c>
      <c r="BC71" s="77" t="s">
        <v>4055</v>
      </c>
      <c r="BD71" s="77" t="s">
        <v>4759</v>
      </c>
      <c r="BE71" s="77" t="s">
        <v>4760</v>
      </c>
      <c r="BF71" s="77" t="s">
        <v>4761</v>
      </c>
      <c r="BG71" s="77" t="s">
        <v>4762</v>
      </c>
      <c r="BH71" s="77" t="s">
        <v>4763</v>
      </c>
      <c r="BI71" s="77" t="s">
        <v>4764</v>
      </c>
      <c r="BJ71" s="77" t="s">
        <v>4765</v>
      </c>
      <c r="BK71" s="77" t="s">
        <v>4766</v>
      </c>
      <c r="BL71" s="77" t="s">
        <v>4767</v>
      </c>
      <c r="BM71" s="77" t="s">
        <v>4768</v>
      </c>
      <c r="BN71" s="77" t="s">
        <v>4769</v>
      </c>
      <c r="BO71" s="77" t="s">
        <v>4770</v>
      </c>
      <c r="BP71" s="77" t="s">
        <v>4771</v>
      </c>
      <c r="BQ71" s="77" t="s">
        <v>4772</v>
      </c>
      <c r="BR71" s="77" t="s">
        <v>4773</v>
      </c>
      <c r="BS71" s="77" t="s">
        <v>4774</v>
      </c>
      <c r="BT71" s="77" t="s">
        <v>4775</v>
      </c>
      <c r="BU71" s="77" t="s">
        <v>994</v>
      </c>
      <c r="BV71" s="77" t="s">
        <v>4776</v>
      </c>
      <c r="BW71" s="88" t="s">
        <v>1023</v>
      </c>
      <c r="BX71" s="87" t="s">
        <v>4777</v>
      </c>
      <c r="BY71" s="88" t="s">
        <v>873</v>
      </c>
      <c r="BZ71" s="88" t="s">
        <v>4778</v>
      </c>
      <c r="CA71" s="87" t="s">
        <v>874</v>
      </c>
      <c r="CB71" s="88" t="s">
        <v>4779</v>
      </c>
      <c r="CC71" s="88" t="s">
        <v>4780</v>
      </c>
      <c r="CD71" s="88" t="s">
        <v>4781</v>
      </c>
      <c r="CE71" s="88" t="s">
        <v>4782</v>
      </c>
      <c r="CF71" s="88" t="s">
        <v>875</v>
      </c>
      <c r="CG71" s="87" t="s">
        <v>4783</v>
      </c>
      <c r="CH71" s="87" t="s">
        <v>4784</v>
      </c>
      <c r="CI71" s="87" t="s">
        <v>4785</v>
      </c>
      <c r="CJ71" s="88" t="s">
        <v>4786</v>
      </c>
      <c r="CK71" s="86" t="s">
        <v>5474</v>
      </c>
      <c r="CL71" s="88" t="s">
        <v>877</v>
      </c>
      <c r="CM71" s="88" t="s">
        <v>878</v>
      </c>
      <c r="CN71" s="88" t="s">
        <v>879</v>
      </c>
      <c r="CO71" s="88" t="s">
        <v>880</v>
      </c>
      <c r="CP71" s="88" t="s">
        <v>881</v>
      </c>
      <c r="CQ71" s="88" t="s">
        <v>882</v>
      </c>
      <c r="CR71" s="88" t="s">
        <v>4787</v>
      </c>
      <c r="CS71" s="88" t="s">
        <v>4788</v>
      </c>
      <c r="CT71" s="88" t="s">
        <v>4789</v>
      </c>
      <c r="CU71" s="88" t="s">
        <v>4790</v>
      </c>
      <c r="CV71" s="88" t="s">
        <v>4791</v>
      </c>
      <c r="CW71" s="88" t="s">
        <v>4792</v>
      </c>
      <c r="CX71" s="88" t="s">
        <v>4793</v>
      </c>
      <c r="CY71" s="87" t="s">
        <v>4794</v>
      </c>
      <c r="CZ71" s="88" t="s">
        <v>1097</v>
      </c>
      <c r="DA71" s="88" t="s">
        <v>1098</v>
      </c>
      <c r="DB71" s="88" t="s">
        <v>1029</v>
      </c>
      <c r="DC71" s="88" t="s">
        <v>4795</v>
      </c>
      <c r="DD71" s="88" t="s">
        <v>4796</v>
      </c>
      <c r="DE71" s="88" t="s">
        <v>887</v>
      </c>
      <c r="DF71" s="88" t="s">
        <v>4797</v>
      </c>
      <c r="DG71" s="88" t="s">
        <v>4798</v>
      </c>
      <c r="DH71" s="88" t="s">
        <v>4799</v>
      </c>
      <c r="DI71" s="88" t="s">
        <v>888</v>
      </c>
      <c r="DJ71" s="88" t="s">
        <v>4800</v>
      </c>
      <c r="DK71" s="88" t="s">
        <v>4801</v>
      </c>
      <c r="DL71" s="88" t="s">
        <v>4802</v>
      </c>
      <c r="DM71" s="87" t="s">
        <v>4803</v>
      </c>
      <c r="DN71" s="88" t="s">
        <v>4804</v>
      </c>
      <c r="DO71" s="88" t="s">
        <v>4805</v>
      </c>
      <c r="DP71" s="88" t="s">
        <v>4806</v>
      </c>
      <c r="DQ71" s="88" t="s">
        <v>4807</v>
      </c>
      <c r="DR71" s="88" t="s">
        <v>889</v>
      </c>
      <c r="DS71" s="88" t="s">
        <v>890</v>
      </c>
      <c r="DT71" s="88" t="s">
        <v>891</v>
      </c>
      <c r="DU71" s="88" t="s">
        <v>892</v>
      </c>
      <c r="DV71" s="88" t="s">
        <v>893</v>
      </c>
      <c r="DW71" s="88" t="s">
        <v>894</v>
      </c>
      <c r="DX71" s="88" t="s">
        <v>895</v>
      </c>
      <c r="DY71" s="88" t="s">
        <v>896</v>
      </c>
      <c r="DZ71" s="87" t="s">
        <v>898</v>
      </c>
      <c r="EA71" s="87" t="s">
        <v>4808</v>
      </c>
      <c r="EB71" s="87" t="s">
        <v>4809</v>
      </c>
      <c r="EC71" s="87" t="s">
        <v>4810</v>
      </c>
      <c r="ED71" s="87" t="s">
        <v>4811</v>
      </c>
      <c r="EE71" s="87" t="s">
        <v>4812</v>
      </c>
      <c r="EF71" s="87" t="s">
        <v>4706</v>
      </c>
      <c r="EG71" s="87" t="s">
        <v>4707</v>
      </c>
      <c r="EH71" s="67" t="s">
        <v>4914</v>
      </c>
    </row>
    <row r="72" spans="1:144" x14ac:dyDescent="0.2">
      <c r="A72" s="77" t="s">
        <v>4055</v>
      </c>
      <c r="B72" s="77" t="s">
        <v>4060</v>
      </c>
      <c r="C72" s="77">
        <v>2</v>
      </c>
      <c r="D72" s="77"/>
      <c r="E72" s="77">
        <v>2</v>
      </c>
      <c r="F72" s="77"/>
      <c r="G72" s="77"/>
      <c r="H72" s="77">
        <v>2</v>
      </c>
      <c r="I72" s="77"/>
      <c r="J72" s="77">
        <v>2</v>
      </c>
      <c r="K72" s="77"/>
      <c r="L72" s="77"/>
      <c r="M72" s="77"/>
      <c r="N72" s="77"/>
      <c r="O72" s="77"/>
      <c r="P72" s="77"/>
      <c r="Q72" s="77"/>
      <c r="R72" s="77">
        <v>1</v>
      </c>
      <c r="S72" s="77">
        <v>5</v>
      </c>
      <c r="T72" s="77">
        <v>0.9</v>
      </c>
      <c r="U72" s="77">
        <v>50</v>
      </c>
      <c r="V72" s="12">
        <f t="shared" si="5"/>
        <v>8</v>
      </c>
      <c r="W72" s="12"/>
      <c r="X72" s="77" t="str">
        <f>Taulukko1[[#This Row],[Main Race]]</f>
        <v>Human</v>
      </c>
      <c r="Z72" s="12" t="s">
        <v>4060</v>
      </c>
      <c r="AA72" s="12">
        <v>6543</v>
      </c>
      <c r="AB72" s="12">
        <v>6543</v>
      </c>
      <c r="AC72" s="12">
        <v>7654</v>
      </c>
      <c r="AD72" s="12">
        <v>6543</v>
      </c>
      <c r="AE72" s="12">
        <v>6543</v>
      </c>
      <c r="AF72" s="12">
        <v>6543</v>
      </c>
      <c r="AG72" s="12">
        <v>6543</v>
      </c>
      <c r="AH72" s="12">
        <v>6521</v>
      </c>
      <c r="AJ72" s="20" t="s">
        <v>4743</v>
      </c>
      <c r="AK72" s="77" t="s">
        <v>4062</v>
      </c>
      <c r="AL72" s="77" t="s">
        <v>958</v>
      </c>
      <c r="AM72" s="77" t="s">
        <v>957</v>
      </c>
      <c r="AN72" s="77" t="s">
        <v>4226</v>
      </c>
      <c r="AO72" s="77" t="s">
        <v>4225</v>
      </c>
      <c r="AP72" s="77" t="s">
        <v>4230</v>
      </c>
      <c r="AQ72" s="77" t="s">
        <v>4050</v>
      </c>
      <c r="AR72" s="77" t="s">
        <v>880</v>
      </c>
      <c r="AS72" s="77" t="s">
        <v>4041</v>
      </c>
      <c r="AT72" s="77" t="s">
        <v>4040</v>
      </c>
      <c r="AU72" s="77" t="s">
        <v>4049</v>
      </c>
      <c r="AV72" s="77" t="s">
        <v>4042</v>
      </c>
      <c r="AW72" s="77" t="s">
        <v>4052</v>
      </c>
      <c r="AX72" s="77" t="s">
        <v>4215</v>
      </c>
      <c r="AY72" s="77" t="s">
        <v>4054</v>
      </c>
      <c r="AZ72" s="77" t="s">
        <v>4227</v>
      </c>
      <c r="BA72" s="77" t="s">
        <v>4259</v>
      </c>
      <c r="BB72" s="77" t="s">
        <v>4237</v>
      </c>
      <c r="BC72" s="77" t="s">
        <v>4136</v>
      </c>
      <c r="BD72" s="77" t="s">
        <v>4064</v>
      </c>
      <c r="BE72" s="77" t="s">
        <v>4056</v>
      </c>
      <c r="BF72" s="77" t="s">
        <v>4057</v>
      </c>
      <c r="BG72" s="77" t="s">
        <v>4063</v>
      </c>
      <c r="BH72" s="77" t="s">
        <v>4065</v>
      </c>
      <c r="BI72" s="77" t="s">
        <v>4066</v>
      </c>
      <c r="BJ72" s="77" t="s">
        <v>4067</v>
      </c>
      <c r="BK72" s="77" t="s">
        <v>4058</v>
      </c>
      <c r="BL72" s="77" t="s">
        <v>4254</v>
      </c>
      <c r="BM72" s="77" t="s">
        <v>4059</v>
      </c>
      <c r="BN72" s="77" t="s">
        <v>4068</v>
      </c>
      <c r="BO72" s="77" t="s">
        <v>4060</v>
      </c>
      <c r="BP72" s="77" t="s">
        <v>4069</v>
      </c>
      <c r="BQ72" s="77" t="s">
        <v>4061</v>
      </c>
      <c r="BR72" s="77" t="s">
        <v>4070</v>
      </c>
      <c r="BS72" s="77" t="s">
        <v>4243</v>
      </c>
      <c r="BT72" s="77" t="s">
        <v>4071</v>
      </c>
      <c r="BU72" s="77" t="s">
        <v>894</v>
      </c>
      <c r="BV72" s="77" t="s">
        <v>1038</v>
      </c>
      <c r="BW72" s="87" t="s">
        <v>919</v>
      </c>
      <c r="BX72" s="87" t="s">
        <v>920</v>
      </c>
      <c r="BY72" s="88" t="s">
        <v>921</v>
      </c>
      <c r="BZ72" s="87" t="s">
        <v>922</v>
      </c>
      <c r="CA72" s="87" t="s">
        <v>923</v>
      </c>
      <c r="CB72" s="88" t="s">
        <v>924</v>
      </c>
      <c r="CC72" s="88" t="s">
        <v>925</v>
      </c>
      <c r="CD72" s="88" t="s">
        <v>926</v>
      </c>
      <c r="CE72" s="88" t="s">
        <v>927</v>
      </c>
      <c r="CF72" s="88" t="s">
        <v>875</v>
      </c>
      <c r="CG72" s="87" t="s">
        <v>918</v>
      </c>
      <c r="CH72" s="87" t="s">
        <v>928</v>
      </c>
      <c r="CI72" s="87" t="s">
        <v>929</v>
      </c>
      <c r="CJ72" s="88" t="s">
        <v>876</v>
      </c>
      <c r="CK72" s="86" t="s">
        <v>5474</v>
      </c>
      <c r="CL72" s="88" t="s">
        <v>877</v>
      </c>
      <c r="CM72" s="88" t="s">
        <v>878</v>
      </c>
      <c r="CN72" s="88" t="s">
        <v>879</v>
      </c>
      <c r="CO72" s="88" t="s">
        <v>880</v>
      </c>
      <c r="CP72" s="88" t="s">
        <v>930</v>
      </c>
      <c r="CQ72" s="88" t="s">
        <v>177</v>
      </c>
      <c r="CR72" s="88" t="s">
        <v>931</v>
      </c>
      <c r="CS72" s="88" t="s">
        <v>932</v>
      </c>
      <c r="CT72" s="88" t="s">
        <v>933</v>
      </c>
      <c r="CU72" s="88" t="s">
        <v>934</v>
      </c>
      <c r="CV72" s="88" t="s">
        <v>935</v>
      </c>
      <c r="CW72" s="88" t="s">
        <v>936</v>
      </c>
      <c r="CX72" s="88" t="s">
        <v>937</v>
      </c>
      <c r="CY72" s="87" t="s">
        <v>938</v>
      </c>
      <c r="CZ72" s="88" t="s">
        <v>939</v>
      </c>
      <c r="DA72" s="88" t="s">
        <v>940</v>
      </c>
      <c r="DB72" s="88" t="s">
        <v>941</v>
      </c>
      <c r="DC72" s="88" t="s">
        <v>942</v>
      </c>
      <c r="DD72" s="88" t="s">
        <v>943</v>
      </c>
      <c r="DE72" s="88" t="s">
        <v>887</v>
      </c>
      <c r="DF72" s="88" t="s">
        <v>944</v>
      </c>
      <c r="DG72" s="88" t="s">
        <v>945</v>
      </c>
      <c r="DH72" s="88" t="s">
        <v>946</v>
      </c>
      <c r="DI72" s="88" t="s">
        <v>947</v>
      </c>
      <c r="DJ72" s="88" t="s">
        <v>948</v>
      </c>
      <c r="DK72" s="88" t="s">
        <v>949</v>
      </c>
      <c r="DL72" s="88" t="s">
        <v>950</v>
      </c>
      <c r="DM72" s="87" t="s">
        <v>951</v>
      </c>
      <c r="DN72" s="88" t="s">
        <v>952</v>
      </c>
      <c r="DO72" s="88" t="s">
        <v>953</v>
      </c>
      <c r="DP72" s="88" t="s">
        <v>954</v>
      </c>
      <c r="DQ72" s="88" t="s">
        <v>955</v>
      </c>
      <c r="DR72" s="88" t="s">
        <v>889</v>
      </c>
      <c r="DS72" s="88" t="s">
        <v>890</v>
      </c>
      <c r="DT72" s="88" t="s">
        <v>891</v>
      </c>
      <c r="DU72" s="88" t="s">
        <v>892</v>
      </c>
      <c r="DV72" s="88" t="s">
        <v>956</v>
      </c>
      <c r="DW72" s="88" t="s">
        <v>4746</v>
      </c>
      <c r="DX72" s="88" t="s">
        <v>895</v>
      </c>
      <c r="DY72" s="88" t="s">
        <v>896</v>
      </c>
      <c r="DZ72" s="87" t="s">
        <v>959</v>
      </c>
      <c r="EA72" s="87" t="s">
        <v>960</v>
      </c>
      <c r="EB72" s="78" t="s">
        <v>1039</v>
      </c>
      <c r="EC72" s="87" t="s">
        <v>962</v>
      </c>
      <c r="ED72" s="87" t="s">
        <v>963</v>
      </c>
      <c r="EE72" s="87" t="s">
        <v>964</v>
      </c>
      <c r="EF72" s="87" t="s">
        <v>965</v>
      </c>
      <c r="EG72" s="87" t="s">
        <v>966</v>
      </c>
      <c r="EH72" s="67"/>
      <c r="EM72" t="s">
        <v>5526</v>
      </c>
      <c r="EN72" s="368" t="s">
        <v>395</v>
      </c>
    </row>
    <row r="73" spans="1:144" x14ac:dyDescent="0.2">
      <c r="A73" s="77" t="s">
        <v>917</v>
      </c>
      <c r="B73" s="77" t="s">
        <v>929</v>
      </c>
      <c r="C73" s="77">
        <v>4</v>
      </c>
      <c r="D73" s="77"/>
      <c r="E73" s="77"/>
      <c r="F73" s="77"/>
      <c r="G73" s="77"/>
      <c r="H73" s="77">
        <v>4</v>
      </c>
      <c r="I73" s="77"/>
      <c r="J73" s="77">
        <v>2</v>
      </c>
      <c r="K73" s="77"/>
      <c r="L73" s="77"/>
      <c r="M73" s="77"/>
      <c r="N73" s="77"/>
      <c r="O73" s="77"/>
      <c r="P73" s="77">
        <v>5</v>
      </c>
      <c r="Q73" s="77">
        <v>15</v>
      </c>
      <c r="R73" s="77">
        <v>10</v>
      </c>
      <c r="S73" s="77">
        <v>4</v>
      </c>
      <c r="T73" s="77">
        <v>0.75</v>
      </c>
      <c r="U73" s="77">
        <f>S73*10</f>
        <v>40</v>
      </c>
      <c r="V73" s="12">
        <f t="shared" si="5"/>
        <v>10</v>
      </c>
      <c r="W73" s="12"/>
      <c r="X73" s="77" t="str">
        <f>Taulukko1[[#This Row],[Main Race]]</f>
        <v>High Man</v>
      </c>
      <c r="Z73" s="12" t="s">
        <v>929</v>
      </c>
      <c r="AA73" s="12">
        <v>6543</v>
      </c>
      <c r="AB73" s="12">
        <v>6543</v>
      </c>
      <c r="AC73" s="12">
        <v>7654</v>
      </c>
      <c r="AD73" s="12">
        <v>6453</v>
      </c>
      <c r="AE73" s="12">
        <v>6543</v>
      </c>
      <c r="AF73" s="12">
        <v>6543</v>
      </c>
      <c r="AG73" s="12">
        <v>6543</v>
      </c>
      <c r="AH73" s="12">
        <v>7531</v>
      </c>
      <c r="AJ73" s="12"/>
      <c r="AK73" s="12" t="s">
        <v>4102</v>
      </c>
      <c r="AL73" s="68" t="s">
        <v>3964</v>
      </c>
      <c r="AM73" s="68" t="s">
        <v>3965</v>
      </c>
      <c r="AN73" s="12" t="s">
        <v>1156</v>
      </c>
      <c r="AO73" s="12" t="s">
        <v>1156</v>
      </c>
      <c r="AP73" s="12" t="s">
        <v>1156</v>
      </c>
      <c r="AQ73" s="69" t="s">
        <v>4168</v>
      </c>
      <c r="AR73" s="12" t="s">
        <v>1159</v>
      </c>
      <c r="AS73" s="12" t="s">
        <v>1157</v>
      </c>
      <c r="AT73" s="12" t="s">
        <v>1157</v>
      </c>
      <c r="AU73" s="12" t="s">
        <v>1158</v>
      </c>
      <c r="AV73" s="12" t="s">
        <v>1158</v>
      </c>
      <c r="AW73" s="69" t="s">
        <v>4117</v>
      </c>
      <c r="AX73" s="12" t="s">
        <v>4187</v>
      </c>
      <c r="AY73" s="69" t="s">
        <v>4112</v>
      </c>
      <c r="AZ73" s="12" t="s">
        <v>437</v>
      </c>
      <c r="BA73" s="12" t="s">
        <v>437</v>
      </c>
      <c r="BB73" s="12" t="s">
        <v>437</v>
      </c>
      <c r="BC73" s="12" t="s">
        <v>1153</v>
      </c>
      <c r="BD73" s="12" t="s">
        <v>1160</v>
      </c>
      <c r="BE73" s="12" t="s">
        <v>1153</v>
      </c>
      <c r="BF73" s="12" t="s">
        <v>437</v>
      </c>
      <c r="BG73" s="12" t="s">
        <v>1153</v>
      </c>
      <c r="BH73" s="12" t="s">
        <v>1153</v>
      </c>
      <c r="BI73" s="12" t="s">
        <v>1176</v>
      </c>
      <c r="BJ73" s="12" t="s">
        <v>683</v>
      </c>
      <c r="BK73" s="12" t="s">
        <v>437</v>
      </c>
      <c r="BL73" s="12" t="s">
        <v>524</v>
      </c>
      <c r="BM73" s="12" t="s">
        <v>1261</v>
      </c>
      <c r="BN73" s="12" t="s">
        <v>1160</v>
      </c>
      <c r="BO73" s="12" t="s">
        <v>437</v>
      </c>
      <c r="BP73" s="69" t="s">
        <v>1167</v>
      </c>
      <c r="BQ73" s="12" t="s">
        <v>437</v>
      </c>
      <c r="BR73" s="69" t="s">
        <v>4132</v>
      </c>
      <c r="BS73" s="12" t="s">
        <v>1171</v>
      </c>
      <c r="BT73" s="12" t="s">
        <v>437</v>
      </c>
      <c r="BU73" s="12" t="s">
        <v>1172</v>
      </c>
      <c r="BV73" s="12" t="s">
        <v>437</v>
      </c>
      <c r="BW73" s="67" t="s">
        <v>1152</v>
      </c>
      <c r="BX73" s="67" t="s">
        <v>1152</v>
      </c>
      <c r="BY73" s="67" t="s">
        <v>1153</v>
      </c>
      <c r="BZ73" s="67" t="s">
        <v>437</v>
      </c>
      <c r="CA73" s="67" t="s">
        <v>437</v>
      </c>
      <c r="CB73" s="67" t="s">
        <v>1154</v>
      </c>
      <c r="CC73" s="67" t="s">
        <v>437</v>
      </c>
      <c r="CD73" s="67" t="s">
        <v>1155</v>
      </c>
      <c r="CE73" s="67" t="s">
        <v>437</v>
      </c>
      <c r="CF73" s="67" t="s">
        <v>437</v>
      </c>
      <c r="CG73" s="67" t="s">
        <v>437</v>
      </c>
      <c r="CH73" s="67" t="s">
        <v>437</v>
      </c>
      <c r="CI73" s="67" t="s">
        <v>437</v>
      </c>
      <c r="CJ73" s="67" t="s">
        <v>1156</v>
      </c>
      <c r="CK73" s="67" t="s">
        <v>5475</v>
      </c>
      <c r="CL73" s="67" t="s">
        <v>1157</v>
      </c>
      <c r="CM73" s="67" t="s">
        <v>1158</v>
      </c>
      <c r="CN73" s="67" t="s">
        <v>1157</v>
      </c>
      <c r="CO73" s="67" t="s">
        <v>1159</v>
      </c>
      <c r="CP73" s="67" t="s">
        <v>1160</v>
      </c>
      <c r="CQ73" s="67" t="s">
        <v>642</v>
      </c>
      <c r="CR73" s="67" t="s">
        <v>437</v>
      </c>
      <c r="CS73" s="67" t="s">
        <v>1161</v>
      </c>
      <c r="CT73" s="67" t="s">
        <v>1161</v>
      </c>
      <c r="CU73" s="67" t="s">
        <v>1162</v>
      </c>
      <c r="CV73" s="67" t="s">
        <v>1161</v>
      </c>
      <c r="CW73" s="67" t="s">
        <v>1162</v>
      </c>
      <c r="CX73" s="67" t="s">
        <v>1163</v>
      </c>
      <c r="CY73" s="67" t="s">
        <v>1161</v>
      </c>
      <c r="CZ73" s="67" t="s">
        <v>1164</v>
      </c>
      <c r="DA73" s="67" t="s">
        <v>1165</v>
      </c>
      <c r="DB73" s="67" t="s">
        <v>437</v>
      </c>
      <c r="DC73" s="67" t="s">
        <v>437</v>
      </c>
      <c r="DD73" s="67" t="s">
        <v>437</v>
      </c>
      <c r="DE73" s="67" t="s">
        <v>1166</v>
      </c>
      <c r="DF73" s="67" t="s">
        <v>1166</v>
      </c>
      <c r="DG73" s="67" t="s">
        <v>1166</v>
      </c>
      <c r="DH73" s="67" t="s">
        <v>1166</v>
      </c>
      <c r="DI73" s="67" t="s">
        <v>1167</v>
      </c>
      <c r="DJ73" s="67" t="s">
        <v>1160</v>
      </c>
      <c r="DK73" s="67" t="s">
        <v>1168</v>
      </c>
      <c r="DL73" s="67" t="s">
        <v>1160</v>
      </c>
      <c r="DM73" s="67" t="s">
        <v>1168</v>
      </c>
      <c r="DN73" s="67" t="s">
        <v>1168</v>
      </c>
      <c r="DO73" s="67" t="s">
        <v>1168</v>
      </c>
      <c r="DP73" s="67" t="s">
        <v>1160</v>
      </c>
      <c r="DQ73" s="67" t="s">
        <v>1168</v>
      </c>
      <c r="DR73" s="67"/>
      <c r="DS73" s="67" t="s">
        <v>1169</v>
      </c>
      <c r="DT73" s="67"/>
      <c r="DU73" s="67" t="s">
        <v>1170</v>
      </c>
      <c r="DV73" s="67" t="s">
        <v>1171</v>
      </c>
      <c r="DW73" s="67" t="s">
        <v>1172</v>
      </c>
      <c r="DX73" s="67" t="s">
        <v>1172</v>
      </c>
      <c r="DY73" s="68" t="s">
        <v>5560</v>
      </c>
      <c r="DZ73" s="67" t="s">
        <v>5514</v>
      </c>
      <c r="EA73" s="67" t="s">
        <v>5514</v>
      </c>
      <c r="EB73" s="67" t="s">
        <v>5514</v>
      </c>
      <c r="EC73" s="67" t="s">
        <v>5550</v>
      </c>
      <c r="ED73" s="67" t="s">
        <v>5514</v>
      </c>
      <c r="EE73" s="67" t="s">
        <v>5514</v>
      </c>
      <c r="EF73" s="67"/>
      <c r="EG73" s="67"/>
      <c r="EH73" s="67">
        <v>2</v>
      </c>
      <c r="EM73" t="s">
        <v>5526</v>
      </c>
      <c r="EN73" s="369" t="s">
        <v>642</v>
      </c>
    </row>
    <row r="74" spans="1:144" x14ac:dyDescent="0.2">
      <c r="A74" s="77" t="s">
        <v>881</v>
      </c>
      <c r="B74" s="77" t="s">
        <v>936</v>
      </c>
      <c r="C74" s="77">
        <v>2</v>
      </c>
      <c r="D74" s="77"/>
      <c r="E74" s="77">
        <v>2</v>
      </c>
      <c r="F74" s="77"/>
      <c r="G74" s="77"/>
      <c r="H74" s="77">
        <v>2</v>
      </c>
      <c r="I74" s="77"/>
      <c r="J74" s="77">
        <v>2</v>
      </c>
      <c r="K74" s="77"/>
      <c r="L74" s="77"/>
      <c r="M74" s="77"/>
      <c r="N74" s="77"/>
      <c r="O74" s="77"/>
      <c r="P74" s="77"/>
      <c r="Q74" s="77"/>
      <c r="R74" s="77">
        <v>11</v>
      </c>
      <c r="S74" s="77">
        <v>5</v>
      </c>
      <c r="T74" s="77">
        <v>0.9</v>
      </c>
      <c r="U74" s="77">
        <f>S74*10</f>
        <v>50</v>
      </c>
      <c r="V74" s="12">
        <f t="shared" si="5"/>
        <v>8</v>
      </c>
      <c r="W74" s="12"/>
      <c r="X74" s="77" t="str">
        <f>Taulukko1[[#This Row],[Main Race]]</f>
        <v>Eriedain</v>
      </c>
      <c r="Z74" s="12" t="s">
        <v>936</v>
      </c>
      <c r="AA74" s="12">
        <v>6543</v>
      </c>
      <c r="AB74" s="12">
        <v>6543</v>
      </c>
      <c r="AC74" s="12">
        <v>7654</v>
      </c>
      <c r="AD74" s="12">
        <v>6543</v>
      </c>
      <c r="AE74" s="12">
        <v>6543</v>
      </c>
      <c r="AF74" s="12">
        <v>6543</v>
      </c>
      <c r="AG74" s="12">
        <v>6543</v>
      </c>
      <c r="AH74" s="12">
        <v>7521</v>
      </c>
      <c r="AJ74" s="12"/>
      <c r="AK74" s="69" t="s">
        <v>4103</v>
      </c>
      <c r="AL74" s="69" t="s">
        <v>3963</v>
      </c>
      <c r="AM74" s="12" t="s">
        <v>1157</v>
      </c>
      <c r="AN74" s="12" t="s">
        <v>1177</v>
      </c>
      <c r="AO74" s="12" t="s">
        <v>1177</v>
      </c>
      <c r="AP74" s="12" t="s">
        <v>1177</v>
      </c>
      <c r="AQ74" s="12" t="s">
        <v>4170</v>
      </c>
      <c r="AR74" s="12" t="s">
        <v>1181</v>
      </c>
      <c r="AS74" s="12" t="s">
        <v>1180</v>
      </c>
      <c r="AT74" s="12" t="s">
        <v>1178</v>
      </c>
      <c r="AU74" s="12" t="s">
        <v>1179</v>
      </c>
      <c r="AV74" s="12" t="s">
        <v>1179</v>
      </c>
      <c r="AW74" s="12" t="s">
        <v>4118</v>
      </c>
      <c r="AX74" s="12" t="s">
        <v>4189</v>
      </c>
      <c r="AY74" s="69" t="s">
        <v>4111</v>
      </c>
      <c r="AZ74" s="12" t="s">
        <v>487</v>
      </c>
      <c r="BA74" s="12" t="s">
        <v>1154</v>
      </c>
      <c r="BB74" s="12" t="s">
        <v>1154</v>
      </c>
      <c r="BC74" s="12" t="s">
        <v>437</v>
      </c>
      <c r="BD74" s="69" t="s">
        <v>4132</v>
      </c>
      <c r="BE74" s="12" t="s">
        <v>437</v>
      </c>
      <c r="BF74" s="12" t="s">
        <v>395</v>
      </c>
      <c r="BG74" s="12" t="s">
        <v>437</v>
      </c>
      <c r="BH74" s="12" t="s">
        <v>437</v>
      </c>
      <c r="BI74" s="12" t="s">
        <v>1192</v>
      </c>
      <c r="BJ74" s="12" t="s">
        <v>1257</v>
      </c>
      <c r="BK74" s="12" t="s">
        <v>395</v>
      </c>
      <c r="BL74" s="12" t="s">
        <v>1304</v>
      </c>
      <c r="BM74" s="12" t="s">
        <v>437</v>
      </c>
      <c r="BN74" s="69" t="s">
        <v>4132</v>
      </c>
      <c r="BO74" s="12" t="s">
        <v>395</v>
      </c>
      <c r="BP74" s="69" t="s">
        <v>4132</v>
      </c>
      <c r="BQ74" s="12" t="s">
        <v>395</v>
      </c>
      <c r="BR74" s="69" t="s">
        <v>4134</v>
      </c>
      <c r="BS74" s="12" t="s">
        <v>642</v>
      </c>
      <c r="BT74" s="12" t="s">
        <v>395</v>
      </c>
      <c r="BU74" s="12" t="s">
        <v>437</v>
      </c>
      <c r="BV74" s="12" t="s">
        <v>1214</v>
      </c>
      <c r="BW74" s="67" t="s">
        <v>1176</v>
      </c>
      <c r="BX74" s="67" t="s">
        <v>1176</v>
      </c>
      <c r="BY74" s="67" t="s">
        <v>437</v>
      </c>
      <c r="BZ74" s="67" t="s">
        <v>395</v>
      </c>
      <c r="CA74" s="67" t="s">
        <v>395</v>
      </c>
      <c r="CB74" s="67" t="s">
        <v>1155</v>
      </c>
      <c r="CC74" s="67" t="s">
        <v>395</v>
      </c>
      <c r="CD74" s="67" t="s">
        <v>395</v>
      </c>
      <c r="CE74" s="67" t="s">
        <v>395</v>
      </c>
      <c r="CF74" s="67" t="s">
        <v>395</v>
      </c>
      <c r="CG74" s="67" t="s">
        <v>395</v>
      </c>
      <c r="CH74" s="67" t="s">
        <v>395</v>
      </c>
      <c r="CI74" s="67" t="s">
        <v>395</v>
      </c>
      <c r="CJ74" s="67" t="s">
        <v>1177</v>
      </c>
      <c r="CK74" s="68" t="s">
        <v>5476</v>
      </c>
      <c r="CL74" s="67" t="s">
        <v>1178</v>
      </c>
      <c r="CM74" s="67" t="s">
        <v>1179</v>
      </c>
      <c r="CN74" s="67" t="s">
        <v>1180</v>
      </c>
      <c r="CO74" s="67" t="s">
        <v>1181</v>
      </c>
      <c r="CP74" s="67" t="s">
        <v>4654</v>
      </c>
      <c r="CQ74" s="67" t="s">
        <v>1154</v>
      </c>
      <c r="CR74" s="67" t="s">
        <v>395</v>
      </c>
      <c r="CS74" s="67" t="s">
        <v>437</v>
      </c>
      <c r="CT74" s="67" t="s">
        <v>437</v>
      </c>
      <c r="CU74" s="67" t="s">
        <v>1161</v>
      </c>
      <c r="CV74" s="67" t="s">
        <v>437</v>
      </c>
      <c r="CW74" s="67" t="s">
        <v>4655</v>
      </c>
      <c r="CX74" s="67" t="s">
        <v>1182</v>
      </c>
      <c r="CY74" s="67" t="s">
        <v>437</v>
      </c>
      <c r="CZ74" s="67" t="s">
        <v>1183</v>
      </c>
      <c r="DA74" s="67" t="s">
        <v>1184</v>
      </c>
      <c r="DB74" s="67" t="s">
        <v>1154</v>
      </c>
      <c r="DC74" s="67" t="s">
        <v>1154</v>
      </c>
      <c r="DD74" s="67" t="s">
        <v>1154</v>
      </c>
      <c r="DE74" s="67" t="s">
        <v>1185</v>
      </c>
      <c r="DF74" s="67" t="s">
        <v>1185</v>
      </c>
      <c r="DG74" s="67" t="s">
        <v>1185</v>
      </c>
      <c r="DH74" s="67" t="s">
        <v>1185</v>
      </c>
      <c r="DI74" s="67" t="s">
        <v>1186</v>
      </c>
      <c r="DJ74" s="67" t="s">
        <v>1168</v>
      </c>
      <c r="DK74" s="67" t="s">
        <v>1187</v>
      </c>
      <c r="DL74" s="67" t="s">
        <v>1168</v>
      </c>
      <c r="DM74" s="67" t="s">
        <v>1187</v>
      </c>
      <c r="DN74" s="67" t="s">
        <v>1187</v>
      </c>
      <c r="DO74" s="67" t="s">
        <v>1187</v>
      </c>
      <c r="DP74" s="67" t="s">
        <v>1168</v>
      </c>
      <c r="DQ74" s="67" t="s">
        <v>1187</v>
      </c>
      <c r="DR74" s="67"/>
      <c r="DS74" s="67"/>
      <c r="DT74" s="67"/>
      <c r="DU74" s="67" t="s">
        <v>1188</v>
      </c>
      <c r="DV74" s="67" t="s">
        <v>642</v>
      </c>
      <c r="DW74" s="67" t="s">
        <v>437</v>
      </c>
      <c r="DX74" s="67" t="s">
        <v>5498</v>
      </c>
      <c r="DY74" s="67" t="s">
        <v>395</v>
      </c>
      <c r="DZ74" s="68" t="s">
        <v>5515</v>
      </c>
      <c r="EA74" s="67" t="s">
        <v>5519</v>
      </c>
      <c r="EB74" s="67" t="s">
        <v>3961</v>
      </c>
      <c r="EC74" s="67" t="s">
        <v>1247</v>
      </c>
      <c r="ED74" s="67" t="s">
        <v>5519</v>
      </c>
      <c r="EE74" s="67" t="s">
        <v>5519</v>
      </c>
      <c r="EF74" s="67"/>
      <c r="EG74" s="67"/>
      <c r="EH74" s="67">
        <v>3</v>
      </c>
      <c r="EM74" t="s">
        <v>5526</v>
      </c>
      <c r="EN74" s="368" t="s">
        <v>1154</v>
      </c>
    </row>
    <row r="75" spans="1:144" x14ac:dyDescent="0.2">
      <c r="A75" s="77" t="s">
        <v>4053</v>
      </c>
      <c r="B75" s="77" t="s">
        <v>4054</v>
      </c>
      <c r="C75" s="77">
        <v>2</v>
      </c>
      <c r="D75" s="77"/>
      <c r="E75" s="77">
        <v>-4</v>
      </c>
      <c r="F75" s="77">
        <v>4</v>
      </c>
      <c r="G75" s="77">
        <v>4</v>
      </c>
      <c r="H75" s="77">
        <v>-4</v>
      </c>
      <c r="I75" s="77">
        <v>2</v>
      </c>
      <c r="J75" s="77">
        <v>-2</v>
      </c>
      <c r="K75" s="77">
        <v>4</v>
      </c>
      <c r="L75" s="77"/>
      <c r="M75" s="77">
        <v>10</v>
      </c>
      <c r="N75" s="77">
        <v>10</v>
      </c>
      <c r="O75" s="77">
        <v>10</v>
      </c>
      <c r="P75" s="77">
        <v>20</v>
      </c>
      <c r="Q75" s="77">
        <v>10</v>
      </c>
      <c r="R75" s="77">
        <v>1</v>
      </c>
      <c r="S75" s="77">
        <v>2</v>
      </c>
      <c r="T75" s="77">
        <v>0.75</v>
      </c>
      <c r="U75" s="77">
        <v>40</v>
      </c>
      <c r="V75" s="12">
        <f t="shared" si="5"/>
        <v>6</v>
      </c>
      <c r="W75" s="12">
        <f>Stats!$B$4</f>
        <v>95.697167755991316</v>
      </c>
      <c r="X75" s="77" t="str">
        <f>Taulukko1[[#This Row],[Main Race]]</f>
        <v>Gnome</v>
      </c>
      <c r="Z75" s="12" t="s">
        <v>4054</v>
      </c>
      <c r="AA75" s="12">
        <v>6543</v>
      </c>
      <c r="AB75" s="12">
        <v>6543</v>
      </c>
      <c r="AC75" s="12">
        <v>6543</v>
      </c>
      <c r="AD75" s="12">
        <v>6543</v>
      </c>
      <c r="AE75" s="12">
        <v>6543</v>
      </c>
      <c r="AF75" s="12">
        <v>6543</v>
      </c>
      <c r="AG75" s="12">
        <v>6543</v>
      </c>
      <c r="AH75" s="12">
        <v>6321</v>
      </c>
      <c r="AJ75" s="12"/>
      <c r="AK75" s="12" t="s">
        <v>4185</v>
      </c>
      <c r="AL75" s="12" t="s">
        <v>1157</v>
      </c>
      <c r="AM75" s="12" t="s">
        <v>1209</v>
      </c>
      <c r="AN75" s="12" t="s">
        <v>1172</v>
      </c>
      <c r="AO75" s="12" t="s">
        <v>1172</v>
      </c>
      <c r="AP75" s="69" t="s">
        <v>1172</v>
      </c>
      <c r="AQ75" s="12" t="s">
        <v>403</v>
      </c>
      <c r="AR75" s="12" t="s">
        <v>1197</v>
      </c>
      <c r="AS75" s="12" t="s">
        <v>1196</v>
      </c>
      <c r="AT75" s="12" t="s">
        <v>1194</v>
      </c>
      <c r="AU75" s="12" t="s">
        <v>1195</v>
      </c>
      <c r="AV75" s="12" t="s">
        <v>1195</v>
      </c>
      <c r="AW75" s="12" t="s">
        <v>599</v>
      </c>
      <c r="AX75" s="69" t="s">
        <v>4115</v>
      </c>
      <c r="AY75" s="69" t="s">
        <v>4113</v>
      </c>
      <c r="AZ75" s="12" t="s">
        <v>1153</v>
      </c>
      <c r="BA75" s="12" t="s">
        <v>1200</v>
      </c>
      <c r="BB75" s="12" t="s">
        <v>1200</v>
      </c>
      <c r="BC75" s="12" t="s">
        <v>1154</v>
      </c>
      <c r="BD75" s="69" t="s">
        <v>4134</v>
      </c>
      <c r="BE75" s="12" t="s">
        <v>1154</v>
      </c>
      <c r="BF75" s="12" t="s">
        <v>642</v>
      </c>
      <c r="BG75" s="12" t="s">
        <v>1154</v>
      </c>
      <c r="BH75" s="12" t="s">
        <v>1154</v>
      </c>
      <c r="BI75" s="12" t="s">
        <v>1206</v>
      </c>
      <c r="BJ75" s="12" t="s">
        <v>524</v>
      </c>
      <c r="BK75" s="12" t="s">
        <v>642</v>
      </c>
      <c r="BL75" s="12" t="s">
        <v>4148</v>
      </c>
      <c r="BM75" s="12" t="s">
        <v>395</v>
      </c>
      <c r="BN75" s="69" t="s">
        <v>4134</v>
      </c>
      <c r="BO75" s="12" t="s">
        <v>642</v>
      </c>
      <c r="BP75" s="69" t="s">
        <v>4134</v>
      </c>
      <c r="BQ75" s="12" t="s">
        <v>642</v>
      </c>
      <c r="BR75" s="69" t="s">
        <v>4133</v>
      </c>
      <c r="BS75" s="12" t="s">
        <v>1156</v>
      </c>
      <c r="BT75" s="12" t="s">
        <v>642</v>
      </c>
      <c r="BU75" s="12" t="s">
        <v>642</v>
      </c>
      <c r="BV75" s="12" t="s">
        <v>487</v>
      </c>
      <c r="BW75" s="67" t="s">
        <v>1192</v>
      </c>
      <c r="BX75" s="67" t="s">
        <v>1192</v>
      </c>
      <c r="BY75" s="67" t="s">
        <v>1154</v>
      </c>
      <c r="BZ75" s="67" t="s">
        <v>642</v>
      </c>
      <c r="CA75" s="67" t="s">
        <v>642</v>
      </c>
      <c r="CB75" s="67" t="s">
        <v>1193</v>
      </c>
      <c r="CC75" s="67" t="s">
        <v>642</v>
      </c>
      <c r="CD75" s="67" t="s">
        <v>642</v>
      </c>
      <c r="CE75" s="67" t="s">
        <v>642</v>
      </c>
      <c r="CF75" s="67" t="s">
        <v>642</v>
      </c>
      <c r="CG75" s="67" t="s">
        <v>642</v>
      </c>
      <c r="CH75" s="67" t="s">
        <v>642</v>
      </c>
      <c r="CI75" s="67" t="s">
        <v>642</v>
      </c>
      <c r="CJ75" s="67" t="s">
        <v>1172</v>
      </c>
      <c r="CK75" s="68" t="s">
        <v>5477</v>
      </c>
      <c r="CL75" s="67" t="s">
        <v>1194</v>
      </c>
      <c r="CM75" s="67" t="s">
        <v>1195</v>
      </c>
      <c r="CN75" s="67" t="s">
        <v>1196</v>
      </c>
      <c r="CO75" s="67" t="s">
        <v>1197</v>
      </c>
      <c r="CP75" s="67" t="s">
        <v>4656</v>
      </c>
      <c r="CQ75" s="67" t="s">
        <v>583</v>
      </c>
      <c r="CR75" s="67" t="s">
        <v>642</v>
      </c>
      <c r="CS75" s="67" t="s">
        <v>1154</v>
      </c>
      <c r="CT75" s="67" t="s">
        <v>1154</v>
      </c>
      <c r="CU75" s="67" t="s">
        <v>437</v>
      </c>
      <c r="CV75" s="67" t="s">
        <v>1154</v>
      </c>
      <c r="CW75" s="67" t="s">
        <v>1161</v>
      </c>
      <c r="CX75" s="67" t="s">
        <v>1198</v>
      </c>
      <c r="CY75" s="67" t="s">
        <v>1154</v>
      </c>
      <c r="CZ75" s="67" t="s">
        <v>1199</v>
      </c>
      <c r="DA75" s="67" t="s">
        <v>1199</v>
      </c>
      <c r="DB75" s="67" t="s">
        <v>1200</v>
      </c>
      <c r="DC75" s="67" t="s">
        <v>1200</v>
      </c>
      <c r="DD75" s="67" t="s">
        <v>1200</v>
      </c>
      <c r="DE75" s="67" t="s">
        <v>1169</v>
      </c>
      <c r="DF75" s="67" t="s">
        <v>1169</v>
      </c>
      <c r="DG75" s="67" t="s">
        <v>1169</v>
      </c>
      <c r="DH75" s="67" t="s">
        <v>1201</v>
      </c>
      <c r="DI75" s="67" t="s">
        <v>4657</v>
      </c>
      <c r="DJ75" s="67" t="s">
        <v>1187</v>
      </c>
      <c r="DK75" s="67" t="s">
        <v>1167</v>
      </c>
      <c r="DL75" s="67" t="s">
        <v>1187</v>
      </c>
      <c r="DM75" s="67" t="s">
        <v>1167</v>
      </c>
      <c r="DN75" s="67" t="s">
        <v>1167</v>
      </c>
      <c r="DO75" s="67" t="s">
        <v>1167</v>
      </c>
      <c r="DP75" s="67" t="s">
        <v>1187</v>
      </c>
      <c r="DQ75" s="67" t="s">
        <v>1167</v>
      </c>
      <c r="DR75" s="67"/>
      <c r="DS75" s="67"/>
      <c r="DT75" s="67"/>
      <c r="DU75" s="67" t="s">
        <v>1202</v>
      </c>
      <c r="DV75" s="67" t="s">
        <v>1156</v>
      </c>
      <c r="DW75" s="67" t="s">
        <v>642</v>
      </c>
      <c r="DX75" s="67" t="s">
        <v>437</v>
      </c>
      <c r="DY75" s="67" t="s">
        <v>642</v>
      </c>
      <c r="DZ75" s="68" t="s">
        <v>5516</v>
      </c>
      <c r="EA75" s="67" t="s">
        <v>5520</v>
      </c>
      <c r="EB75" s="67" t="s">
        <v>1347</v>
      </c>
      <c r="EC75" s="67" t="s">
        <v>5551</v>
      </c>
      <c r="ED75" s="67" t="s">
        <v>5520</v>
      </c>
      <c r="EE75" s="67" t="s">
        <v>5520</v>
      </c>
      <c r="EF75" s="67"/>
      <c r="EG75" s="67"/>
      <c r="EH75" s="67">
        <v>4</v>
      </c>
      <c r="EM75" t="s">
        <v>5526</v>
      </c>
      <c r="EN75" s="368" t="s">
        <v>1214</v>
      </c>
    </row>
    <row r="76" spans="1:144" x14ac:dyDescent="0.2">
      <c r="A76" s="77" t="s">
        <v>1005</v>
      </c>
      <c r="B76" s="77" t="s">
        <v>921</v>
      </c>
      <c r="C76" s="77"/>
      <c r="D76" s="77"/>
      <c r="E76" s="77">
        <v>2</v>
      </c>
      <c r="F76" s="77"/>
      <c r="G76" s="77"/>
      <c r="H76" s="77">
        <v>2</v>
      </c>
      <c r="I76" s="77"/>
      <c r="J76" s="77"/>
      <c r="K76" s="77"/>
      <c r="L76" s="77"/>
      <c r="M76" s="77"/>
      <c r="N76" s="77"/>
      <c r="O76" s="77"/>
      <c r="P76" s="77"/>
      <c r="Q76" s="77"/>
      <c r="R76" s="77">
        <v>12</v>
      </c>
      <c r="S76" s="77">
        <v>6</v>
      </c>
      <c r="T76" s="77">
        <v>1</v>
      </c>
      <c r="U76" s="77">
        <v>55</v>
      </c>
      <c r="V76" s="12">
        <f t="shared" si="5"/>
        <v>4</v>
      </c>
      <c r="W76" s="12"/>
      <c r="X76" s="77" t="str">
        <f>Taulukko1[[#This Row],[Main Race]]</f>
        <v>Common Men</v>
      </c>
      <c r="Z76" s="12" t="s">
        <v>921</v>
      </c>
      <c r="AA76" s="12">
        <v>6543</v>
      </c>
      <c r="AB76" s="12">
        <v>6543</v>
      </c>
      <c r="AC76" s="12">
        <v>7654</v>
      </c>
      <c r="AD76" s="12">
        <v>6543</v>
      </c>
      <c r="AE76" s="12">
        <v>6543</v>
      </c>
      <c r="AF76" s="12">
        <v>6543</v>
      </c>
      <c r="AG76" s="12">
        <v>6543</v>
      </c>
      <c r="AH76" s="12">
        <v>6421</v>
      </c>
      <c r="AJ76" s="12"/>
      <c r="AK76" s="69" t="s">
        <v>4093</v>
      </c>
      <c r="AL76" s="12" t="s">
        <v>1209</v>
      </c>
      <c r="AM76" s="68" t="s">
        <v>3960</v>
      </c>
      <c r="AN76" s="12" t="s">
        <v>1208</v>
      </c>
      <c r="AO76" s="12" t="s">
        <v>1208</v>
      </c>
      <c r="AP76" s="12" t="s">
        <v>1208</v>
      </c>
      <c r="AQ76" s="12" t="s">
        <v>408</v>
      </c>
      <c r="AR76" s="12" t="s">
        <v>437</v>
      </c>
      <c r="AS76" s="12" t="s">
        <v>1209</v>
      </c>
      <c r="AT76" s="12" t="s">
        <v>1209</v>
      </c>
      <c r="AU76" s="12" t="s">
        <v>1209</v>
      </c>
      <c r="AV76" s="12" t="s">
        <v>1209</v>
      </c>
      <c r="AW76" s="12" t="s">
        <v>683</v>
      </c>
      <c r="AX76" s="69" t="s">
        <v>1158</v>
      </c>
      <c r="AY76" s="12" t="s">
        <v>1155</v>
      </c>
      <c r="AZ76" s="12" t="s">
        <v>1207</v>
      </c>
      <c r="BA76" s="12" t="s">
        <v>1211</v>
      </c>
      <c r="BB76" s="12" t="s">
        <v>1207</v>
      </c>
      <c r="BC76" s="12" t="s">
        <v>590</v>
      </c>
      <c r="BD76" s="69" t="s">
        <v>4133</v>
      </c>
      <c r="BE76" s="12" t="s">
        <v>683</v>
      </c>
      <c r="BF76" s="12" t="s">
        <v>1154</v>
      </c>
      <c r="BG76" s="12" t="s">
        <v>487</v>
      </c>
      <c r="BH76" s="12" t="s">
        <v>590</v>
      </c>
      <c r="BI76" s="12" t="s">
        <v>1218</v>
      </c>
      <c r="BJ76" s="12" t="s">
        <v>1304</v>
      </c>
      <c r="BK76" s="12" t="s">
        <v>1155</v>
      </c>
      <c r="BL76" s="69" t="s">
        <v>4154</v>
      </c>
      <c r="BM76" s="12" t="s">
        <v>642</v>
      </c>
      <c r="BN76" s="69" t="s">
        <v>4133</v>
      </c>
      <c r="BO76" s="12" t="s">
        <v>1154</v>
      </c>
      <c r="BP76" s="69" t="s">
        <v>4133</v>
      </c>
      <c r="BQ76" s="12" t="s">
        <v>1154</v>
      </c>
      <c r="BR76" s="12" t="s">
        <v>1224</v>
      </c>
      <c r="BS76" s="12" t="s">
        <v>599</v>
      </c>
      <c r="BT76" s="12" t="s">
        <v>1154</v>
      </c>
      <c r="BU76" s="12" t="s">
        <v>1154</v>
      </c>
      <c r="BV76" s="12" t="s">
        <v>590</v>
      </c>
      <c r="BW76" s="67" t="s">
        <v>1206</v>
      </c>
      <c r="BX76" s="67" t="s">
        <v>1206</v>
      </c>
      <c r="BY76" s="67" t="s">
        <v>590</v>
      </c>
      <c r="BZ76" s="67" t="s">
        <v>1154</v>
      </c>
      <c r="CA76" s="67" t="s">
        <v>1154</v>
      </c>
      <c r="CB76" s="67" t="s">
        <v>487</v>
      </c>
      <c r="CC76" s="67" t="s">
        <v>1154</v>
      </c>
      <c r="CD76" s="67" t="s">
        <v>1207</v>
      </c>
      <c r="CE76" s="67" t="s">
        <v>1155</v>
      </c>
      <c r="CF76" s="67" t="s">
        <v>1155</v>
      </c>
      <c r="CG76" s="67" t="s">
        <v>1154</v>
      </c>
      <c r="CH76" s="67" t="s">
        <v>1154</v>
      </c>
      <c r="CI76" s="67" t="s">
        <v>1154</v>
      </c>
      <c r="CJ76" s="67" t="s">
        <v>1208</v>
      </c>
      <c r="CK76" s="68" t="s">
        <v>5478</v>
      </c>
      <c r="CL76" s="67" t="s">
        <v>1209</v>
      </c>
      <c r="CM76" s="67" t="s">
        <v>1209</v>
      </c>
      <c r="CN76" s="67" t="s">
        <v>1209</v>
      </c>
      <c r="CO76" s="67" t="s">
        <v>437</v>
      </c>
      <c r="CP76" s="67" t="s">
        <v>4658</v>
      </c>
      <c r="CQ76" s="67" t="s">
        <v>437</v>
      </c>
      <c r="CR76" s="67" t="s">
        <v>1207</v>
      </c>
      <c r="CS76" s="67" t="s">
        <v>590</v>
      </c>
      <c r="CT76" s="67" t="s">
        <v>590</v>
      </c>
      <c r="CU76" s="67" t="s">
        <v>1154</v>
      </c>
      <c r="CV76" s="67" t="s">
        <v>590</v>
      </c>
      <c r="CW76" s="67" t="s">
        <v>437</v>
      </c>
      <c r="CX76" s="67" t="s">
        <v>437</v>
      </c>
      <c r="CY76" s="67" t="s">
        <v>590</v>
      </c>
      <c r="CZ76" s="67" t="s">
        <v>1210</v>
      </c>
      <c r="DA76" s="67" t="s">
        <v>1210</v>
      </c>
      <c r="DB76" s="67" t="s">
        <v>1211</v>
      </c>
      <c r="DC76" s="67" t="s">
        <v>1211</v>
      </c>
      <c r="DD76" s="67" t="s">
        <v>1211</v>
      </c>
      <c r="DE76" s="67" t="s">
        <v>388</v>
      </c>
      <c r="DF76" s="67" t="s">
        <v>388</v>
      </c>
      <c r="DG76" s="67" t="s">
        <v>388</v>
      </c>
      <c r="DH76" s="67" t="s">
        <v>1169</v>
      </c>
      <c r="DI76" s="67" t="s">
        <v>437</v>
      </c>
      <c r="DJ76" s="67" t="s">
        <v>1212</v>
      </c>
      <c r="DK76" s="67" t="s">
        <v>1213</v>
      </c>
      <c r="DL76" s="67" t="s">
        <v>1212</v>
      </c>
      <c r="DM76" s="67" t="s">
        <v>1213</v>
      </c>
      <c r="DN76" s="67" t="s">
        <v>1213</v>
      </c>
      <c r="DO76" s="67" t="s">
        <v>1213</v>
      </c>
      <c r="DP76" s="67" t="s">
        <v>1212</v>
      </c>
      <c r="DQ76" s="67" t="s">
        <v>1213</v>
      </c>
      <c r="DR76" s="67"/>
      <c r="DS76" s="67"/>
      <c r="DT76" s="67"/>
      <c r="DU76" s="67" t="s">
        <v>1214</v>
      </c>
      <c r="DV76" s="67" t="s">
        <v>599</v>
      </c>
      <c r="DW76" s="67" t="s">
        <v>1154</v>
      </c>
      <c r="DX76" s="67" t="s">
        <v>642</v>
      </c>
      <c r="DY76" s="67" t="s">
        <v>1154</v>
      </c>
      <c r="DZ76" s="68" t="s">
        <v>5517</v>
      </c>
      <c r="EA76" s="67" t="s">
        <v>5507</v>
      </c>
      <c r="EB76" s="67" t="s">
        <v>437</v>
      </c>
      <c r="EC76" s="67" t="s">
        <v>5552</v>
      </c>
      <c r="ED76" s="67" t="s">
        <v>5524</v>
      </c>
      <c r="EE76" s="67" t="s">
        <v>5507</v>
      </c>
      <c r="EF76" s="67"/>
      <c r="EG76" s="67"/>
      <c r="EH76" s="67">
        <v>5</v>
      </c>
      <c r="EM76" t="s">
        <v>5526</v>
      </c>
      <c r="EN76" s="369" t="s">
        <v>1156</v>
      </c>
    </row>
    <row r="77" spans="1:144" x14ac:dyDescent="0.2">
      <c r="A77" s="77" t="s">
        <v>888</v>
      </c>
      <c r="B77" s="77" t="s">
        <v>953</v>
      </c>
      <c r="C77" s="77"/>
      <c r="D77" s="77"/>
      <c r="E77" s="77">
        <v>2</v>
      </c>
      <c r="F77" s="77"/>
      <c r="G77" s="77"/>
      <c r="H77" s="77">
        <v>2</v>
      </c>
      <c r="I77" s="77"/>
      <c r="J77" s="77">
        <v>-2</v>
      </c>
      <c r="K77" s="77">
        <v>2</v>
      </c>
      <c r="L77" s="77"/>
      <c r="M77" s="77"/>
      <c r="N77" s="77"/>
      <c r="O77" s="77"/>
      <c r="P77" s="77"/>
      <c r="Q77" s="77"/>
      <c r="R77" s="77">
        <v>12</v>
      </c>
      <c r="S77" s="77">
        <v>6</v>
      </c>
      <c r="T77" s="77">
        <v>1</v>
      </c>
      <c r="U77" s="77">
        <v>50</v>
      </c>
      <c r="V77" s="12">
        <f t="shared" si="5"/>
        <v>4</v>
      </c>
      <c r="W77" s="12"/>
      <c r="X77" s="77" t="str">
        <f>Taulukko1[[#This Row],[Main Race]]</f>
        <v>Talatherim</v>
      </c>
      <c r="Z77" s="12" t="s">
        <v>953</v>
      </c>
      <c r="AA77" s="12">
        <v>6543</v>
      </c>
      <c r="AB77" s="12">
        <v>6543</v>
      </c>
      <c r="AC77" s="12">
        <v>7654</v>
      </c>
      <c r="AD77" s="12">
        <v>6543</v>
      </c>
      <c r="AE77" s="12">
        <v>6543</v>
      </c>
      <c r="AF77" s="12">
        <v>6543</v>
      </c>
      <c r="AG77" s="12">
        <v>6543</v>
      </c>
      <c r="AH77" s="12">
        <v>6421</v>
      </c>
      <c r="AJ77" s="12"/>
      <c r="AK77" s="69" t="s">
        <v>4130</v>
      </c>
      <c r="AL77" s="68" t="s">
        <v>3960</v>
      </c>
      <c r="AM77" s="12" t="s">
        <v>437</v>
      </c>
      <c r="AN77" s="12" t="s">
        <v>1220</v>
      </c>
      <c r="AO77" s="12" t="s">
        <v>1220</v>
      </c>
      <c r="AP77" s="12" t="s">
        <v>1220</v>
      </c>
      <c r="AQ77" s="12" t="s">
        <v>433</v>
      </c>
      <c r="AR77" s="12" t="s">
        <v>395</v>
      </c>
      <c r="AS77" s="12" t="s">
        <v>1223</v>
      </c>
      <c r="AT77" s="12" t="s">
        <v>1221</v>
      </c>
      <c r="AU77" s="28" t="s">
        <v>4072</v>
      </c>
      <c r="AV77" s="28" t="s">
        <v>4072</v>
      </c>
      <c r="AW77" s="69" t="s">
        <v>4190</v>
      </c>
      <c r="AX77" s="69" t="s">
        <v>4072</v>
      </c>
      <c r="AY77" s="12" t="s">
        <v>599</v>
      </c>
      <c r="AZ77" s="12" t="s">
        <v>1236</v>
      </c>
      <c r="BA77" s="12" t="s">
        <v>683</v>
      </c>
      <c r="BB77" s="12" t="s">
        <v>683</v>
      </c>
      <c r="BC77" s="12" t="s">
        <v>439</v>
      </c>
      <c r="BD77" s="12" t="s">
        <v>1224</v>
      </c>
      <c r="BE77" s="12" t="s">
        <v>439</v>
      </c>
      <c r="BF77" s="12" t="s">
        <v>683</v>
      </c>
      <c r="BG77" s="12" t="s">
        <v>590</v>
      </c>
      <c r="BH77" s="12" t="s">
        <v>439</v>
      </c>
      <c r="BI77" s="12" t="s">
        <v>395</v>
      </c>
      <c r="BJ77" s="12" t="s">
        <v>4148</v>
      </c>
      <c r="BK77" s="12" t="s">
        <v>1207</v>
      </c>
      <c r="BL77" s="69" t="s">
        <v>4155</v>
      </c>
      <c r="BM77" s="12" t="s">
        <v>1154</v>
      </c>
      <c r="BN77" s="12" t="s">
        <v>1224</v>
      </c>
      <c r="BO77" s="12" t="s">
        <v>683</v>
      </c>
      <c r="BP77" s="12" t="s">
        <v>1224</v>
      </c>
      <c r="BQ77" s="12" t="s">
        <v>683</v>
      </c>
      <c r="BR77" s="69" t="s">
        <v>4135</v>
      </c>
      <c r="BS77" s="12" t="s">
        <v>487</v>
      </c>
      <c r="BT77" s="12" t="s">
        <v>683</v>
      </c>
      <c r="BU77" s="12" t="s">
        <v>683</v>
      </c>
      <c r="BV77" s="12" t="s">
        <v>439</v>
      </c>
      <c r="BW77" s="67" t="s">
        <v>1218</v>
      </c>
      <c r="BX77" s="67" t="s">
        <v>1218</v>
      </c>
      <c r="BY77" s="67" t="s">
        <v>439</v>
      </c>
      <c r="BZ77" s="67" t="s">
        <v>683</v>
      </c>
      <c r="CA77" s="67" t="s">
        <v>683</v>
      </c>
      <c r="CB77" s="67" t="s">
        <v>1219</v>
      </c>
      <c r="CC77" s="67" t="s">
        <v>683</v>
      </c>
      <c r="CD77" s="67" t="s">
        <v>683</v>
      </c>
      <c r="CE77" s="67" t="s">
        <v>1207</v>
      </c>
      <c r="CF77" s="67" t="s">
        <v>1207</v>
      </c>
      <c r="CG77" s="67" t="s">
        <v>683</v>
      </c>
      <c r="CH77" s="67" t="s">
        <v>683</v>
      </c>
      <c r="CI77" s="67" t="s">
        <v>683</v>
      </c>
      <c r="CJ77" s="67" t="s">
        <v>1220</v>
      </c>
      <c r="CK77" s="68" t="s">
        <v>5479</v>
      </c>
      <c r="CL77" s="67" t="s">
        <v>1221</v>
      </c>
      <c r="CM77" s="67" t="s">
        <v>1222</v>
      </c>
      <c r="CN77" s="67" t="s">
        <v>1223</v>
      </c>
      <c r="CO77" s="67" t="s">
        <v>395</v>
      </c>
      <c r="CP77" s="67" t="s">
        <v>1224</v>
      </c>
      <c r="CQ77" s="67" t="s">
        <v>584</v>
      </c>
      <c r="CR77" s="67" t="s">
        <v>683</v>
      </c>
      <c r="CS77" s="67" t="s">
        <v>439</v>
      </c>
      <c r="CT77" s="67" t="s">
        <v>439</v>
      </c>
      <c r="CU77" s="67" t="s">
        <v>590</v>
      </c>
      <c r="CV77" s="67" t="s">
        <v>439</v>
      </c>
      <c r="CW77" s="67" t="s">
        <v>1154</v>
      </c>
      <c r="CX77" s="67" t="s">
        <v>642</v>
      </c>
      <c r="CY77" s="67" t="s">
        <v>439</v>
      </c>
      <c r="CZ77" s="67" t="s">
        <v>587</v>
      </c>
      <c r="DA77" s="67" t="s">
        <v>587</v>
      </c>
      <c r="DB77" s="67" t="s">
        <v>683</v>
      </c>
      <c r="DC77" s="67" t="s">
        <v>683</v>
      </c>
      <c r="DD77" s="67" t="s">
        <v>683</v>
      </c>
      <c r="DE77" s="67" t="s">
        <v>1225</v>
      </c>
      <c r="DF77" s="67" t="s">
        <v>1225</v>
      </c>
      <c r="DG77" s="67" t="s">
        <v>1225</v>
      </c>
      <c r="DH77" s="67" t="s">
        <v>388</v>
      </c>
      <c r="DI77" s="67" t="s">
        <v>642</v>
      </c>
      <c r="DJ77" s="67" t="s">
        <v>1226</v>
      </c>
      <c r="DK77" s="67" t="s">
        <v>1212</v>
      </c>
      <c r="DL77" s="67" t="s">
        <v>1226</v>
      </c>
      <c r="DM77" s="67" t="s">
        <v>1212</v>
      </c>
      <c r="DN77" s="67" t="s">
        <v>1212</v>
      </c>
      <c r="DO77" s="67" t="s">
        <v>1212</v>
      </c>
      <c r="DP77" s="67" t="s">
        <v>1226</v>
      </c>
      <c r="DQ77" s="67" t="s">
        <v>1212</v>
      </c>
      <c r="DR77" s="67"/>
      <c r="DS77" s="67"/>
      <c r="DT77" s="67"/>
      <c r="DU77" s="67" t="s">
        <v>1156</v>
      </c>
      <c r="DV77" s="67" t="s">
        <v>487</v>
      </c>
      <c r="DW77" s="67" t="s">
        <v>683</v>
      </c>
      <c r="DX77" s="67" t="s">
        <v>1154</v>
      </c>
      <c r="DY77" s="67" t="s">
        <v>1214</v>
      </c>
      <c r="DZ77" s="68" t="s">
        <v>5518</v>
      </c>
      <c r="EA77" s="67" t="s">
        <v>487</v>
      </c>
      <c r="EB77" s="67" t="s">
        <v>642</v>
      </c>
      <c r="EC77" s="67" t="s">
        <v>642</v>
      </c>
      <c r="ED77" s="67" t="s">
        <v>5507</v>
      </c>
      <c r="EE77" s="67" t="s">
        <v>487</v>
      </c>
      <c r="EF77" s="67"/>
      <c r="EG77" s="67"/>
      <c r="EH77" s="67">
        <v>6</v>
      </c>
      <c r="EM77" t="s">
        <v>5526</v>
      </c>
      <c r="EN77" s="369" t="s">
        <v>683</v>
      </c>
    </row>
    <row r="78" spans="1:144" x14ac:dyDescent="0.2">
      <c r="A78" s="77" t="s">
        <v>4055</v>
      </c>
      <c r="B78" s="77" t="s">
        <v>4069</v>
      </c>
      <c r="C78" s="77">
        <v>2</v>
      </c>
      <c r="D78" s="77"/>
      <c r="E78" s="77">
        <v>2</v>
      </c>
      <c r="F78" s="77"/>
      <c r="G78" s="77"/>
      <c r="H78" s="77">
        <v>2</v>
      </c>
      <c r="I78" s="77"/>
      <c r="J78" s="77"/>
      <c r="K78" s="77"/>
      <c r="L78" s="77"/>
      <c r="M78" s="77"/>
      <c r="N78" s="77"/>
      <c r="O78" s="77"/>
      <c r="P78" s="77"/>
      <c r="Q78" s="77"/>
      <c r="R78" s="77">
        <v>1</v>
      </c>
      <c r="S78" s="77">
        <v>5</v>
      </c>
      <c r="T78" s="77">
        <v>0.9</v>
      </c>
      <c r="U78" s="77">
        <v>50</v>
      </c>
      <c r="V78" s="12">
        <f t="shared" si="5"/>
        <v>6</v>
      </c>
      <c r="W78" s="12"/>
      <c r="X78" s="77" t="str">
        <f>Taulukko1[[#This Row],[Main Race]]</f>
        <v>Human</v>
      </c>
      <c r="Z78" s="12" t="s">
        <v>4069</v>
      </c>
      <c r="AA78" s="12">
        <v>6543</v>
      </c>
      <c r="AB78" s="12">
        <v>6543</v>
      </c>
      <c r="AC78" s="12">
        <v>7654</v>
      </c>
      <c r="AD78" s="12">
        <v>6543</v>
      </c>
      <c r="AE78" s="12">
        <v>6543</v>
      </c>
      <c r="AF78" s="12">
        <v>6543</v>
      </c>
      <c r="AG78" s="12">
        <v>6543</v>
      </c>
      <c r="AH78" s="12">
        <v>7521</v>
      </c>
      <c r="AJ78" s="12"/>
      <c r="AK78" s="69" t="s">
        <v>4131</v>
      </c>
      <c r="AL78" s="12" t="s">
        <v>437</v>
      </c>
      <c r="AM78" s="12" t="s">
        <v>642</v>
      </c>
      <c r="AN78" s="12" t="s">
        <v>1231</v>
      </c>
      <c r="AO78" s="12" t="s">
        <v>1231</v>
      </c>
      <c r="AP78" s="12" t="s">
        <v>1231</v>
      </c>
      <c r="AQ78" s="69" t="s">
        <v>4196</v>
      </c>
      <c r="AR78" s="12" t="s">
        <v>642</v>
      </c>
      <c r="AS78" s="12" t="s">
        <v>1234</v>
      </c>
      <c r="AT78" s="12" t="s">
        <v>1232</v>
      </c>
      <c r="AU78" s="12" t="s">
        <v>1233</v>
      </c>
      <c r="AV78" s="12" t="s">
        <v>1233</v>
      </c>
      <c r="AW78" s="12" t="s">
        <v>439</v>
      </c>
      <c r="AX78" s="69" t="s">
        <v>4186</v>
      </c>
      <c r="AY78" s="12" t="s">
        <v>487</v>
      </c>
      <c r="AZ78" s="12" t="s">
        <v>439</v>
      </c>
      <c r="BA78" s="12" t="s">
        <v>1236</v>
      </c>
      <c r="BB78" s="12" t="s">
        <v>1236</v>
      </c>
      <c r="BC78" s="12" t="s">
        <v>508</v>
      </c>
      <c r="BD78" s="69" t="s">
        <v>4135</v>
      </c>
      <c r="BE78" s="12" t="s">
        <v>508</v>
      </c>
      <c r="BF78" s="12" t="s">
        <v>1214</v>
      </c>
      <c r="BG78" s="12" t="s">
        <v>439</v>
      </c>
      <c r="BH78" s="12" t="s">
        <v>508</v>
      </c>
      <c r="BI78" s="12" t="s">
        <v>642</v>
      </c>
      <c r="BJ78" s="12" t="s">
        <v>1242</v>
      </c>
      <c r="BK78" s="12" t="s">
        <v>1230</v>
      </c>
      <c r="BL78" s="12" t="s">
        <v>4149</v>
      </c>
      <c r="BM78" s="12" t="s">
        <v>683</v>
      </c>
      <c r="BN78" s="69" t="s">
        <v>4135</v>
      </c>
      <c r="BO78" s="12" t="s">
        <v>1214</v>
      </c>
      <c r="BP78" s="69" t="s">
        <v>4135</v>
      </c>
      <c r="BQ78" s="12" t="s">
        <v>1214</v>
      </c>
      <c r="BR78" s="12" t="s">
        <v>1244</v>
      </c>
      <c r="BS78" s="12" t="s">
        <v>1238</v>
      </c>
      <c r="BT78" s="12" t="s">
        <v>1214</v>
      </c>
      <c r="BU78" s="12" t="s">
        <v>1214</v>
      </c>
      <c r="BV78" s="12" t="s">
        <v>440</v>
      </c>
      <c r="BW78" s="67" t="s">
        <v>395</v>
      </c>
      <c r="BX78" s="67" t="s">
        <v>395</v>
      </c>
      <c r="BY78" s="67" t="s">
        <v>508</v>
      </c>
      <c r="BZ78" s="67" t="s">
        <v>1214</v>
      </c>
      <c r="CA78" s="67" t="s">
        <v>1214</v>
      </c>
      <c r="CB78" s="67" t="s">
        <v>529</v>
      </c>
      <c r="CC78" s="67" t="s">
        <v>1214</v>
      </c>
      <c r="CD78" s="67" t="s">
        <v>599</v>
      </c>
      <c r="CE78" s="67" t="s">
        <v>1230</v>
      </c>
      <c r="CF78" s="67" t="s">
        <v>1230</v>
      </c>
      <c r="CG78" s="67" t="s">
        <v>1214</v>
      </c>
      <c r="CH78" s="67" t="s">
        <v>1214</v>
      </c>
      <c r="CI78" s="67" t="s">
        <v>1214</v>
      </c>
      <c r="CJ78" s="67" t="s">
        <v>1231</v>
      </c>
      <c r="CK78" s="67" t="s">
        <v>979</v>
      </c>
      <c r="CL78" s="67" t="s">
        <v>1232</v>
      </c>
      <c r="CM78" s="67" t="s">
        <v>1233</v>
      </c>
      <c r="CN78" s="67" t="s">
        <v>1234</v>
      </c>
      <c r="CO78" s="67" t="s">
        <v>642</v>
      </c>
      <c r="CP78" s="67" t="s">
        <v>4659</v>
      </c>
      <c r="CQ78" s="67" t="s">
        <v>1235</v>
      </c>
      <c r="CR78" s="67" t="s">
        <v>599</v>
      </c>
      <c r="CS78" s="67" t="s">
        <v>508</v>
      </c>
      <c r="CT78" s="67" t="s">
        <v>508</v>
      </c>
      <c r="CU78" s="67" t="s">
        <v>439</v>
      </c>
      <c r="CV78" s="67" t="s">
        <v>508</v>
      </c>
      <c r="CW78" s="67" t="s">
        <v>590</v>
      </c>
      <c r="CX78" s="67" t="s">
        <v>1161</v>
      </c>
      <c r="CY78" s="67" t="s">
        <v>508</v>
      </c>
      <c r="CZ78" s="67" t="s">
        <v>472</v>
      </c>
      <c r="DA78" s="67" t="s">
        <v>472</v>
      </c>
      <c r="DB78" s="67" t="s">
        <v>1236</v>
      </c>
      <c r="DC78" s="67" t="s">
        <v>1236</v>
      </c>
      <c r="DD78" s="67" t="s">
        <v>1236</v>
      </c>
      <c r="DE78" s="67" t="s">
        <v>472</v>
      </c>
      <c r="DF78" s="67" t="s">
        <v>472</v>
      </c>
      <c r="DG78" s="67" t="s">
        <v>472</v>
      </c>
      <c r="DH78" s="67" t="s">
        <v>1225</v>
      </c>
      <c r="DI78" s="67" t="s">
        <v>1237</v>
      </c>
      <c r="DJ78" s="67" t="s">
        <v>437</v>
      </c>
      <c r="DK78" s="67" t="s">
        <v>1226</v>
      </c>
      <c r="DL78" s="67" t="s">
        <v>437</v>
      </c>
      <c r="DM78" s="67" t="s">
        <v>1226</v>
      </c>
      <c r="DN78" s="67" t="s">
        <v>1226</v>
      </c>
      <c r="DO78" s="67" t="s">
        <v>1226</v>
      </c>
      <c r="DP78" s="67" t="s">
        <v>437</v>
      </c>
      <c r="DQ78" s="67" t="s">
        <v>1226</v>
      </c>
      <c r="DR78" s="67"/>
      <c r="DS78" s="67"/>
      <c r="DT78" s="67"/>
      <c r="DU78" s="67" t="s">
        <v>599</v>
      </c>
      <c r="DV78" s="67" t="s">
        <v>1238</v>
      </c>
      <c r="DW78" s="67" t="s">
        <v>1214</v>
      </c>
      <c r="DX78" s="67" t="s">
        <v>683</v>
      </c>
      <c r="DY78" s="67" t="s">
        <v>1156</v>
      </c>
      <c r="DZ78" s="67" t="s">
        <v>5519</v>
      </c>
      <c r="EA78" s="67" t="s">
        <v>590</v>
      </c>
      <c r="EB78" s="67" t="s">
        <v>1154</v>
      </c>
      <c r="EC78" s="67" t="s">
        <v>487</v>
      </c>
      <c r="ED78" s="67" t="s">
        <v>487</v>
      </c>
      <c r="EE78" s="67" t="s">
        <v>590</v>
      </c>
      <c r="EF78" s="67"/>
      <c r="EG78" s="67"/>
      <c r="EH78" s="67">
        <v>7</v>
      </c>
      <c r="EM78" t="s">
        <v>5526</v>
      </c>
      <c r="EN78" s="369" t="s">
        <v>599</v>
      </c>
    </row>
    <row r="79" spans="1:144" x14ac:dyDescent="0.2">
      <c r="A79" s="77" t="s">
        <v>3942</v>
      </c>
      <c r="B79" s="77" t="s">
        <v>878</v>
      </c>
      <c r="C79" s="77"/>
      <c r="D79" s="77">
        <v>4</v>
      </c>
      <c r="E79" s="77">
        <v>-5</v>
      </c>
      <c r="F79" s="77">
        <v>2</v>
      </c>
      <c r="G79" s="77"/>
      <c r="H79" s="77"/>
      <c r="I79" s="77">
        <v>2</v>
      </c>
      <c r="J79" s="77">
        <v>2</v>
      </c>
      <c r="K79" s="77">
        <v>2</v>
      </c>
      <c r="L79" s="77">
        <v>2</v>
      </c>
      <c r="M79" s="77"/>
      <c r="N79" s="77"/>
      <c r="O79" s="77"/>
      <c r="P79" s="77">
        <v>10</v>
      </c>
      <c r="Q79" s="77">
        <v>100</v>
      </c>
      <c r="R79" s="77">
        <v>3</v>
      </c>
      <c r="S79" s="77">
        <v>2</v>
      </c>
      <c r="T79" s="77">
        <v>1.5</v>
      </c>
      <c r="U79" s="77">
        <v>20</v>
      </c>
      <c r="V79" s="12">
        <f t="shared" si="5"/>
        <v>9</v>
      </c>
      <c r="W79" s="12"/>
      <c r="X79" s="77" t="str">
        <f>Taulukko1[[#This Row],[Main Race]]</f>
        <v>Elf</v>
      </c>
      <c r="Z79" s="12" t="s">
        <v>878</v>
      </c>
      <c r="AA79" s="12">
        <v>7654</v>
      </c>
      <c r="AB79" s="12">
        <v>6543</v>
      </c>
      <c r="AC79" s="12">
        <v>6543</v>
      </c>
      <c r="AD79" s="12">
        <v>6543</v>
      </c>
      <c r="AE79" s="12">
        <v>6543</v>
      </c>
      <c r="AF79" s="12">
        <v>6543</v>
      </c>
      <c r="AG79" s="12">
        <v>6543</v>
      </c>
      <c r="AH79" s="12">
        <v>6311</v>
      </c>
      <c r="AJ79" s="12"/>
      <c r="AK79" s="69" t="s">
        <v>4094</v>
      </c>
      <c r="AL79" s="12" t="s">
        <v>642</v>
      </c>
      <c r="AM79" s="12" t="s">
        <v>3961</v>
      </c>
      <c r="AN79" s="12" t="s">
        <v>1155</v>
      </c>
      <c r="AO79" s="12" t="s">
        <v>1155</v>
      </c>
      <c r="AP79" s="12" t="s">
        <v>1220</v>
      </c>
      <c r="AQ79" s="12" t="s">
        <v>1257</v>
      </c>
      <c r="AR79" s="12" t="s">
        <v>1154</v>
      </c>
      <c r="AS79" s="12" t="s">
        <v>395</v>
      </c>
      <c r="AT79" s="12" t="s">
        <v>1155</v>
      </c>
      <c r="AU79" s="12" t="s">
        <v>437</v>
      </c>
      <c r="AV79" s="12" t="s">
        <v>1243</v>
      </c>
      <c r="AW79" s="12" t="s">
        <v>440</v>
      </c>
      <c r="AX79" s="12" t="s">
        <v>599</v>
      </c>
      <c r="AY79" s="12" t="s">
        <v>683</v>
      </c>
      <c r="AZ79" s="12" t="s">
        <v>508</v>
      </c>
      <c r="BA79" s="12" t="s">
        <v>1193</v>
      </c>
      <c r="BB79" s="12" t="s">
        <v>487</v>
      </c>
      <c r="BC79" s="12" t="s">
        <v>396</v>
      </c>
      <c r="BD79" s="12" t="s">
        <v>1244</v>
      </c>
      <c r="BE79" s="12" t="s">
        <v>396</v>
      </c>
      <c r="BF79" s="12" t="s">
        <v>1193</v>
      </c>
      <c r="BG79" s="12" t="s">
        <v>508</v>
      </c>
      <c r="BH79" s="12" t="s">
        <v>396</v>
      </c>
      <c r="BI79" s="12" t="s">
        <v>1153</v>
      </c>
      <c r="BJ79" s="12" t="s">
        <v>529</v>
      </c>
      <c r="BK79" s="12" t="s">
        <v>1193</v>
      </c>
      <c r="BL79" s="12" t="s">
        <v>4256</v>
      </c>
      <c r="BM79" s="12" t="s">
        <v>1214</v>
      </c>
      <c r="BN79" s="12" t="s">
        <v>1244</v>
      </c>
      <c r="BO79" s="12" t="s">
        <v>487</v>
      </c>
      <c r="BP79" s="12" t="s">
        <v>1154</v>
      </c>
      <c r="BQ79" s="12" t="s">
        <v>1193</v>
      </c>
      <c r="BR79" s="12" t="s">
        <v>4158</v>
      </c>
      <c r="BS79" s="12" t="s">
        <v>646</v>
      </c>
      <c r="BT79" s="12" t="s">
        <v>1193</v>
      </c>
      <c r="BU79" s="12" t="s">
        <v>487</v>
      </c>
      <c r="BV79" s="12" t="s">
        <v>647</v>
      </c>
      <c r="BW79" s="67" t="s">
        <v>642</v>
      </c>
      <c r="BX79" s="67" t="s">
        <v>642</v>
      </c>
      <c r="BY79" s="67" t="s">
        <v>396</v>
      </c>
      <c r="BZ79" s="67" t="s">
        <v>1193</v>
      </c>
      <c r="CA79" s="67" t="s">
        <v>1193</v>
      </c>
      <c r="CB79" s="67" t="s">
        <v>1242</v>
      </c>
      <c r="CC79" s="67" t="s">
        <v>1193</v>
      </c>
      <c r="CD79" s="67" t="s">
        <v>1193</v>
      </c>
      <c r="CE79" s="67" t="s">
        <v>1193</v>
      </c>
      <c r="CF79" s="67" t="s">
        <v>1193</v>
      </c>
      <c r="CG79" s="67" t="s">
        <v>1193</v>
      </c>
      <c r="CH79" s="67" t="s">
        <v>1193</v>
      </c>
      <c r="CI79" s="67" t="s">
        <v>1193</v>
      </c>
      <c r="CJ79" s="67" t="s">
        <v>1155</v>
      </c>
      <c r="CK79" s="67" t="s">
        <v>388</v>
      </c>
      <c r="CL79" s="67" t="s">
        <v>1155</v>
      </c>
      <c r="CM79" s="67" t="s">
        <v>1243</v>
      </c>
      <c r="CN79" s="67" t="s">
        <v>395</v>
      </c>
      <c r="CO79" s="67" t="s">
        <v>1154</v>
      </c>
      <c r="CP79" s="67" t="s">
        <v>1244</v>
      </c>
      <c r="CQ79" s="67" t="s">
        <v>1245</v>
      </c>
      <c r="CR79" s="67" t="s">
        <v>1193</v>
      </c>
      <c r="CS79" s="67" t="s">
        <v>396</v>
      </c>
      <c r="CT79" s="67" t="s">
        <v>396</v>
      </c>
      <c r="CU79" s="67" t="s">
        <v>508</v>
      </c>
      <c r="CV79" s="67" t="s">
        <v>396</v>
      </c>
      <c r="CW79" s="67" t="s">
        <v>439</v>
      </c>
      <c r="CX79" s="67" t="s">
        <v>487</v>
      </c>
      <c r="CY79" s="67" t="s">
        <v>396</v>
      </c>
      <c r="CZ79" s="67" t="s">
        <v>599</v>
      </c>
      <c r="DA79" s="67" t="s">
        <v>599</v>
      </c>
      <c r="DB79" s="67" t="s">
        <v>1193</v>
      </c>
      <c r="DC79" s="67" t="s">
        <v>1193</v>
      </c>
      <c r="DD79" s="67" t="s">
        <v>1193</v>
      </c>
      <c r="DE79" s="67" t="s">
        <v>599</v>
      </c>
      <c r="DF79" s="67" t="s">
        <v>1246</v>
      </c>
      <c r="DG79" s="67" t="s">
        <v>1246</v>
      </c>
      <c r="DH79" s="67" t="s">
        <v>396</v>
      </c>
      <c r="DI79" s="67" t="s">
        <v>1247</v>
      </c>
      <c r="DJ79" s="67" t="s">
        <v>642</v>
      </c>
      <c r="DK79" s="67" t="s">
        <v>437</v>
      </c>
      <c r="DL79" s="67" t="s">
        <v>642</v>
      </c>
      <c r="DM79" s="67" t="s">
        <v>437</v>
      </c>
      <c r="DN79" s="67" t="s">
        <v>437</v>
      </c>
      <c r="DO79" s="67" t="s">
        <v>437</v>
      </c>
      <c r="DP79" s="67" t="s">
        <v>642</v>
      </c>
      <c r="DQ79" s="67" t="s">
        <v>437</v>
      </c>
      <c r="DR79" s="67"/>
      <c r="DS79" s="67"/>
      <c r="DT79" s="67"/>
      <c r="DU79" s="67" t="s">
        <v>487</v>
      </c>
      <c r="DV79" s="67" t="s">
        <v>646</v>
      </c>
      <c r="DW79" s="67" t="s">
        <v>487</v>
      </c>
      <c r="DX79" s="67" t="s">
        <v>1214</v>
      </c>
      <c r="DY79" s="67" t="s">
        <v>683</v>
      </c>
      <c r="DZ79" s="67" t="s">
        <v>5520</v>
      </c>
      <c r="EA79" s="67" t="s">
        <v>5510</v>
      </c>
      <c r="EB79" s="67" t="s">
        <v>683</v>
      </c>
      <c r="EC79" s="67" t="s">
        <v>590</v>
      </c>
      <c r="ED79" s="67" t="s">
        <v>590</v>
      </c>
      <c r="EE79" s="67" t="s">
        <v>5510</v>
      </c>
      <c r="EF79" s="67"/>
      <c r="EG79" s="67"/>
      <c r="EH79" s="67">
        <v>8</v>
      </c>
      <c r="EM79" t="s">
        <v>5526</v>
      </c>
      <c r="EN79" s="368" t="s">
        <v>487</v>
      </c>
    </row>
    <row r="80" spans="1:144" x14ac:dyDescent="0.2">
      <c r="A80" s="77" t="s">
        <v>3942</v>
      </c>
      <c r="B80" s="77" t="s">
        <v>879</v>
      </c>
      <c r="C80" s="77">
        <v>2</v>
      </c>
      <c r="D80" s="77">
        <v>4</v>
      </c>
      <c r="E80" s="77">
        <v>-5</v>
      </c>
      <c r="F80" s="77">
        <v>2</v>
      </c>
      <c r="G80" s="77"/>
      <c r="H80" s="77"/>
      <c r="I80" s="77">
        <v>4</v>
      </c>
      <c r="J80" s="77">
        <v>4</v>
      </c>
      <c r="K80" s="77">
        <v>2</v>
      </c>
      <c r="L80" s="77">
        <v>2</v>
      </c>
      <c r="M80" s="77"/>
      <c r="N80" s="77"/>
      <c r="O80" s="77"/>
      <c r="P80" s="77">
        <v>10</v>
      </c>
      <c r="Q80" s="77">
        <v>100</v>
      </c>
      <c r="R80" s="77">
        <v>2</v>
      </c>
      <c r="S80" s="77">
        <v>2</v>
      </c>
      <c r="T80" s="77">
        <v>2</v>
      </c>
      <c r="U80" s="77">
        <v>10</v>
      </c>
      <c r="V80" s="12">
        <f t="shared" si="5"/>
        <v>15</v>
      </c>
      <c r="W80" s="12"/>
      <c r="X80" s="77" t="str">
        <f>Taulukko1[[#This Row],[Main Race]]</f>
        <v>Elf</v>
      </c>
      <c r="Z80" s="12" t="s">
        <v>879</v>
      </c>
      <c r="AA80" s="12">
        <v>7654</v>
      </c>
      <c r="AB80" s="12">
        <v>6543</v>
      </c>
      <c r="AC80" s="12">
        <v>6543</v>
      </c>
      <c r="AD80" s="12">
        <v>6543</v>
      </c>
      <c r="AE80" s="12">
        <v>6543</v>
      </c>
      <c r="AF80" s="12">
        <v>6543</v>
      </c>
      <c r="AG80" s="12">
        <v>6543</v>
      </c>
      <c r="AH80" s="12">
        <v>6321</v>
      </c>
      <c r="AJ80" s="12"/>
      <c r="AK80" s="69" t="s">
        <v>4095</v>
      </c>
      <c r="AL80" s="12" t="s">
        <v>3961</v>
      </c>
      <c r="AM80" s="12" t="s">
        <v>1347</v>
      </c>
      <c r="AN80" s="12" t="s">
        <v>599</v>
      </c>
      <c r="AO80" s="12" t="s">
        <v>599</v>
      </c>
      <c r="AP80" s="12" t="s">
        <v>1155</v>
      </c>
      <c r="AQ80" s="12" t="s">
        <v>662</v>
      </c>
      <c r="AR80" s="12" t="s">
        <v>1155</v>
      </c>
      <c r="AS80" s="12" t="s">
        <v>599</v>
      </c>
      <c r="AT80" s="12" t="s">
        <v>487</v>
      </c>
      <c r="AU80" s="12" t="s">
        <v>395</v>
      </c>
      <c r="AV80" s="12" t="s">
        <v>437</v>
      </c>
      <c r="AW80" s="12" t="s">
        <v>647</v>
      </c>
      <c r="AX80" s="12" t="s">
        <v>590</v>
      </c>
      <c r="AY80" s="12" t="s">
        <v>590</v>
      </c>
      <c r="AZ80" s="12" t="s">
        <v>396</v>
      </c>
      <c r="BA80" s="12" t="s">
        <v>1105</v>
      </c>
      <c r="BB80" s="12" t="s">
        <v>1105</v>
      </c>
      <c r="BC80" s="12" t="s">
        <v>1104</v>
      </c>
      <c r="BD80" s="12" t="s">
        <v>437</v>
      </c>
      <c r="BE80" s="12" t="s">
        <v>541</v>
      </c>
      <c r="BF80" s="12" t="s">
        <v>487</v>
      </c>
      <c r="BG80" s="12" t="s">
        <v>396</v>
      </c>
      <c r="BH80" s="12" t="s">
        <v>1104</v>
      </c>
      <c r="BI80" s="12" t="s">
        <v>599</v>
      </c>
      <c r="BJ80" s="12" t="s">
        <v>396</v>
      </c>
      <c r="BK80" s="12" t="s">
        <v>487</v>
      </c>
      <c r="BL80" s="12" t="s">
        <v>4257</v>
      </c>
      <c r="BM80" s="12" t="s">
        <v>1193</v>
      </c>
      <c r="BN80" s="69" t="s">
        <v>4160</v>
      </c>
      <c r="BO80" s="12" t="s">
        <v>528</v>
      </c>
      <c r="BP80" s="12" t="s">
        <v>4158</v>
      </c>
      <c r="BQ80" s="12" t="s">
        <v>487</v>
      </c>
      <c r="BR80" s="12" t="s">
        <v>1281</v>
      </c>
      <c r="BS80" s="12" t="s">
        <v>532</v>
      </c>
      <c r="BT80" s="12" t="s">
        <v>487</v>
      </c>
      <c r="BU80" s="12" t="s">
        <v>590</v>
      </c>
      <c r="BV80" s="12" t="s">
        <v>662</v>
      </c>
      <c r="BW80" s="67" t="s">
        <v>1153</v>
      </c>
      <c r="BX80" s="67" t="s">
        <v>1153</v>
      </c>
      <c r="BY80" s="67" t="s">
        <v>1104</v>
      </c>
      <c r="BZ80" s="67" t="s">
        <v>487</v>
      </c>
      <c r="CA80" s="67" t="s">
        <v>487</v>
      </c>
      <c r="CB80" s="67" t="s">
        <v>662</v>
      </c>
      <c r="CC80" s="67" t="s">
        <v>487</v>
      </c>
      <c r="CD80" s="67" t="s">
        <v>487</v>
      </c>
      <c r="CE80" s="67" t="s">
        <v>487</v>
      </c>
      <c r="CF80" s="67" t="s">
        <v>487</v>
      </c>
      <c r="CG80" s="67" t="s">
        <v>487</v>
      </c>
      <c r="CH80" s="67" t="s">
        <v>487</v>
      </c>
      <c r="CI80" s="67" t="s">
        <v>487</v>
      </c>
      <c r="CJ80" s="67" t="s">
        <v>599</v>
      </c>
      <c r="CK80" s="67" t="s">
        <v>487</v>
      </c>
      <c r="CL80" s="67" t="s">
        <v>487</v>
      </c>
      <c r="CM80" s="67" t="s">
        <v>437</v>
      </c>
      <c r="CN80" s="67" t="s">
        <v>599</v>
      </c>
      <c r="CO80" s="67" t="s">
        <v>1155</v>
      </c>
      <c r="CP80" s="67" t="s">
        <v>437</v>
      </c>
      <c r="CQ80" s="67" t="s">
        <v>684</v>
      </c>
      <c r="CR80" s="67" t="s">
        <v>487</v>
      </c>
      <c r="CS80" s="67" t="s">
        <v>541</v>
      </c>
      <c r="CT80" s="67" t="s">
        <v>541</v>
      </c>
      <c r="CU80" s="67" t="s">
        <v>396</v>
      </c>
      <c r="CV80" s="67" t="s">
        <v>541</v>
      </c>
      <c r="CW80" s="67" t="s">
        <v>508</v>
      </c>
      <c r="CX80" s="67" t="s">
        <v>439</v>
      </c>
      <c r="CY80" s="67" t="s">
        <v>541</v>
      </c>
      <c r="CZ80" s="67" t="s">
        <v>602</v>
      </c>
      <c r="DA80" s="67" t="s">
        <v>602</v>
      </c>
      <c r="DB80" s="67" t="s">
        <v>1105</v>
      </c>
      <c r="DC80" s="67" t="s">
        <v>1105</v>
      </c>
      <c r="DD80" s="67" t="s">
        <v>1105</v>
      </c>
      <c r="DE80" s="67" t="s">
        <v>1246</v>
      </c>
      <c r="DF80" s="67"/>
      <c r="DG80" s="67"/>
      <c r="DH80" s="67" t="s">
        <v>404</v>
      </c>
      <c r="DI80" s="67" t="s">
        <v>683</v>
      </c>
      <c r="DJ80" s="67" t="s">
        <v>1154</v>
      </c>
      <c r="DK80" s="67" t="s">
        <v>642</v>
      </c>
      <c r="DL80" s="67" t="s">
        <v>1154</v>
      </c>
      <c r="DM80" s="67" t="s">
        <v>642</v>
      </c>
      <c r="DN80" s="67" t="s">
        <v>642</v>
      </c>
      <c r="DO80" s="67" t="s">
        <v>642</v>
      </c>
      <c r="DP80" s="67" t="s">
        <v>1154</v>
      </c>
      <c r="DQ80" s="67" t="s">
        <v>642</v>
      </c>
      <c r="DR80" s="67"/>
      <c r="DS80" s="67"/>
      <c r="DT80" s="67"/>
      <c r="DU80" s="67" t="s">
        <v>1251</v>
      </c>
      <c r="DV80" s="67" t="s">
        <v>590</v>
      </c>
      <c r="DW80" s="67" t="s">
        <v>590</v>
      </c>
      <c r="DX80" s="67" t="s">
        <v>599</v>
      </c>
      <c r="DY80" s="67" t="s">
        <v>599</v>
      </c>
      <c r="DZ80" s="67" t="s">
        <v>5507</v>
      </c>
      <c r="EA80" s="67" t="s">
        <v>5513</v>
      </c>
      <c r="EB80" s="67" t="s">
        <v>487</v>
      </c>
      <c r="EC80" s="67" t="s">
        <v>663</v>
      </c>
      <c r="ED80" s="67" t="s">
        <v>5510</v>
      </c>
      <c r="EE80" s="67" t="s">
        <v>5513</v>
      </c>
      <c r="EF80" s="67"/>
      <c r="EG80" s="67"/>
      <c r="EH80" s="67">
        <v>9</v>
      </c>
      <c r="EM80" t="s">
        <v>5526</v>
      </c>
      <c r="EN80" s="369" t="s">
        <v>528</v>
      </c>
    </row>
    <row r="81" spans="1:144" x14ac:dyDescent="0.2">
      <c r="A81" s="77" t="s">
        <v>992</v>
      </c>
      <c r="B81" s="77" t="s">
        <v>960</v>
      </c>
      <c r="C81" s="77">
        <v>16</v>
      </c>
      <c r="D81" s="77">
        <v>-4</v>
      </c>
      <c r="E81" s="77">
        <v>-4</v>
      </c>
      <c r="F81" s="77">
        <v>-4</v>
      </c>
      <c r="G81" s="77">
        <v>-6</v>
      </c>
      <c r="H81" s="77">
        <v>16</v>
      </c>
      <c r="I81" s="77">
        <v>-4</v>
      </c>
      <c r="J81" s="77">
        <v>-4</v>
      </c>
      <c r="K81" s="77">
        <v>-4</v>
      </c>
      <c r="L81" s="77">
        <v>-6</v>
      </c>
      <c r="M81" s="77"/>
      <c r="N81" s="77"/>
      <c r="O81" s="77"/>
      <c r="P81" s="77">
        <v>30</v>
      </c>
      <c r="Q81" s="77">
        <v>10</v>
      </c>
      <c r="R81" s="77">
        <v>1</v>
      </c>
      <c r="S81" s="77">
        <v>2</v>
      </c>
      <c r="T81" s="77">
        <v>0.5</v>
      </c>
      <c r="U81" s="77">
        <f>S81*10</f>
        <v>20</v>
      </c>
      <c r="V81" s="12">
        <f t="shared" si="5"/>
        <v>-4</v>
      </c>
      <c r="W81" s="12"/>
      <c r="X81" s="77" t="str">
        <f>Taulukko1[[#This Row],[Main Race]]</f>
        <v>Troll</v>
      </c>
      <c r="Z81" s="12" t="s">
        <v>960</v>
      </c>
      <c r="AA81" s="12">
        <v>2111</v>
      </c>
      <c r="AB81" s="12">
        <v>2111</v>
      </c>
      <c r="AC81" s="12">
        <v>2111</v>
      </c>
      <c r="AD81" s="12">
        <v>2111</v>
      </c>
      <c r="AE81" s="12">
        <v>2111</v>
      </c>
      <c r="AF81" s="12">
        <v>2111</v>
      </c>
      <c r="AG81" s="12">
        <v>2111</v>
      </c>
      <c r="AH81" s="12">
        <v>9853</v>
      </c>
      <c r="AJ81" s="12"/>
      <c r="AK81" s="69" t="s">
        <v>4096</v>
      </c>
      <c r="AL81" s="12" t="s">
        <v>1347</v>
      </c>
      <c r="AM81" s="12" t="s">
        <v>599</v>
      </c>
      <c r="AN81" s="12" t="s">
        <v>487</v>
      </c>
      <c r="AO81" s="12" t="s">
        <v>487</v>
      </c>
      <c r="AP81" s="12" t="s">
        <v>599</v>
      </c>
      <c r="AQ81" s="12" t="s">
        <v>1104</v>
      </c>
      <c r="AR81" s="12" t="s">
        <v>1207</v>
      </c>
      <c r="AS81" s="12" t="s">
        <v>1193</v>
      </c>
      <c r="AT81" s="12" t="s">
        <v>396</v>
      </c>
      <c r="AU81" s="12" t="s">
        <v>642</v>
      </c>
      <c r="AV81" s="12" t="s">
        <v>395</v>
      </c>
      <c r="AW81" s="12" t="s">
        <v>662</v>
      </c>
      <c r="AX81" s="12" t="s">
        <v>439</v>
      </c>
      <c r="AY81" s="12" t="s">
        <v>439</v>
      </c>
      <c r="AZ81" s="12" t="s">
        <v>647</v>
      </c>
      <c r="BA81" s="12" t="s">
        <v>439</v>
      </c>
      <c r="BB81" s="12" t="s">
        <v>439</v>
      </c>
      <c r="BC81" s="12" t="s">
        <v>656</v>
      </c>
      <c r="BD81" s="12" t="s">
        <v>642</v>
      </c>
      <c r="BE81" s="12" t="s">
        <v>542</v>
      </c>
      <c r="BF81" s="12" t="s">
        <v>528</v>
      </c>
      <c r="BG81" s="12" t="s">
        <v>1104</v>
      </c>
      <c r="BH81" s="12" t="s">
        <v>656</v>
      </c>
      <c r="BI81" s="12" t="s">
        <v>487</v>
      </c>
      <c r="BJ81" s="12" t="s">
        <v>656</v>
      </c>
      <c r="BK81" s="12" t="s">
        <v>439</v>
      </c>
      <c r="BL81" s="12" t="s">
        <v>4258</v>
      </c>
      <c r="BM81" s="12" t="s">
        <v>487</v>
      </c>
      <c r="BN81" s="12" t="s">
        <v>437</v>
      </c>
      <c r="BO81" s="12" t="s">
        <v>439</v>
      </c>
      <c r="BP81" s="12" t="s">
        <v>1281</v>
      </c>
      <c r="BQ81" s="12" t="s">
        <v>528</v>
      </c>
      <c r="BR81" s="12" t="s">
        <v>662</v>
      </c>
      <c r="BS81" s="12" t="s">
        <v>1273</v>
      </c>
      <c r="BT81" s="12" t="s">
        <v>528</v>
      </c>
      <c r="BU81" s="12" t="s">
        <v>439</v>
      </c>
      <c r="BV81" s="12" t="s">
        <v>663</v>
      </c>
      <c r="BW81" s="67" t="s">
        <v>599</v>
      </c>
      <c r="BX81" s="67" t="s">
        <v>599</v>
      </c>
      <c r="BY81" s="67" t="s">
        <v>656</v>
      </c>
      <c r="BZ81" s="67" t="s">
        <v>528</v>
      </c>
      <c r="CA81" s="67" t="s">
        <v>528</v>
      </c>
      <c r="CB81" s="67" t="s">
        <v>511</v>
      </c>
      <c r="CC81" s="67" t="s">
        <v>528</v>
      </c>
      <c r="CD81" s="67" t="s">
        <v>439</v>
      </c>
      <c r="CE81" s="67" t="s">
        <v>439</v>
      </c>
      <c r="CF81" s="67" t="s">
        <v>439</v>
      </c>
      <c r="CG81" s="67" t="s">
        <v>528</v>
      </c>
      <c r="CH81" s="67" t="s">
        <v>528</v>
      </c>
      <c r="CI81" s="67" t="s">
        <v>528</v>
      </c>
      <c r="CJ81" s="67" t="s">
        <v>487</v>
      </c>
      <c r="CK81" s="67" t="s">
        <v>508</v>
      </c>
      <c r="CL81" s="67" t="s">
        <v>396</v>
      </c>
      <c r="CM81" s="67" t="s">
        <v>395</v>
      </c>
      <c r="CN81" s="67" t="s">
        <v>1193</v>
      </c>
      <c r="CO81" s="67" t="s">
        <v>1207</v>
      </c>
      <c r="CP81" s="67" t="s">
        <v>642</v>
      </c>
      <c r="CQ81" s="67" t="s">
        <v>487</v>
      </c>
      <c r="CR81" s="67" t="s">
        <v>439</v>
      </c>
      <c r="CS81" s="67" t="s">
        <v>542</v>
      </c>
      <c r="CT81" s="67" t="s">
        <v>542</v>
      </c>
      <c r="CU81" s="67" t="s">
        <v>541</v>
      </c>
      <c r="CV81" s="67" t="s">
        <v>542</v>
      </c>
      <c r="CW81" s="67" t="s">
        <v>396</v>
      </c>
      <c r="CX81" s="67" t="s">
        <v>4660</v>
      </c>
      <c r="CY81" s="67" t="s">
        <v>542</v>
      </c>
      <c r="CZ81" s="67" t="s">
        <v>642</v>
      </c>
      <c r="DA81" s="67" t="s">
        <v>642</v>
      </c>
      <c r="DB81" s="67" t="s">
        <v>439</v>
      </c>
      <c r="DC81" s="67" t="s">
        <v>439</v>
      </c>
      <c r="DD81" s="67" t="s">
        <v>439</v>
      </c>
      <c r="DE81" s="67" t="s">
        <v>642</v>
      </c>
      <c r="DF81" s="67" t="s">
        <v>658</v>
      </c>
      <c r="DG81" s="67" t="s">
        <v>658</v>
      </c>
      <c r="DH81" s="67" t="s">
        <v>429</v>
      </c>
      <c r="DI81" s="67" t="s">
        <v>1254</v>
      </c>
      <c r="DJ81" s="67" t="s">
        <v>599</v>
      </c>
      <c r="DK81" s="67" t="s">
        <v>1154</v>
      </c>
      <c r="DL81" s="67" t="s">
        <v>599</v>
      </c>
      <c r="DM81" s="67" t="s">
        <v>1154</v>
      </c>
      <c r="DN81" s="67" t="s">
        <v>1154</v>
      </c>
      <c r="DO81" s="67" t="s">
        <v>1154</v>
      </c>
      <c r="DP81" s="67" t="s">
        <v>599</v>
      </c>
      <c r="DQ81" s="67" t="s">
        <v>1154</v>
      </c>
      <c r="DR81" s="67"/>
      <c r="DS81" s="67"/>
      <c r="DT81" s="67"/>
      <c r="DU81" s="67" t="s">
        <v>590</v>
      </c>
      <c r="DV81" s="67" t="s">
        <v>4661</v>
      </c>
      <c r="DW81" s="67" t="s">
        <v>439</v>
      </c>
      <c r="DX81" s="67" t="s">
        <v>487</v>
      </c>
      <c r="DY81" s="67" t="s">
        <v>487</v>
      </c>
      <c r="DZ81" s="67" t="s">
        <v>487</v>
      </c>
      <c r="EA81" s="67" t="s">
        <v>1104</v>
      </c>
      <c r="EB81" s="67" t="s">
        <v>590</v>
      </c>
      <c r="EC81" s="67" t="s">
        <v>656</v>
      </c>
      <c r="ED81" s="67" t="s">
        <v>5513</v>
      </c>
      <c r="EE81" s="67" t="s">
        <v>1104</v>
      </c>
      <c r="EF81" s="67"/>
      <c r="EG81" s="67"/>
      <c r="EH81" s="67">
        <v>10</v>
      </c>
      <c r="EM81" t="s">
        <v>5526</v>
      </c>
      <c r="EN81" s="368" t="s">
        <v>590</v>
      </c>
    </row>
    <row r="82" spans="1:144" x14ac:dyDescent="0.2">
      <c r="A82" s="77" t="s">
        <v>992</v>
      </c>
      <c r="B82" s="77" t="s">
        <v>964</v>
      </c>
      <c r="C82" s="77">
        <v>12</v>
      </c>
      <c r="D82" s="77">
        <v>-4</v>
      </c>
      <c r="E82" s="77">
        <v>-4</v>
      </c>
      <c r="F82" s="77">
        <v>-4</v>
      </c>
      <c r="G82" s="77">
        <v>-6</v>
      </c>
      <c r="H82" s="77">
        <v>12</v>
      </c>
      <c r="I82" s="77">
        <v>-4</v>
      </c>
      <c r="J82" s="77">
        <v>-4</v>
      </c>
      <c r="K82" s="77">
        <v>-4</v>
      </c>
      <c r="L82" s="77">
        <v>-6</v>
      </c>
      <c r="M82" s="77"/>
      <c r="N82" s="77"/>
      <c r="O82" s="77"/>
      <c r="P82" s="77">
        <v>30</v>
      </c>
      <c r="Q82" s="77">
        <v>10</v>
      </c>
      <c r="R82" s="77">
        <v>1</v>
      </c>
      <c r="S82" s="77">
        <v>2</v>
      </c>
      <c r="T82" s="77">
        <v>0.5</v>
      </c>
      <c r="U82" s="77">
        <f>S82*10</f>
        <v>20</v>
      </c>
      <c r="V82" s="12">
        <f t="shared" si="5"/>
        <v>-12</v>
      </c>
      <c r="W82" s="12"/>
      <c r="X82" s="77" t="str">
        <f>Taulukko1[[#This Row],[Main Race]]</f>
        <v>Troll</v>
      </c>
      <c r="Z82" s="12" t="s">
        <v>964</v>
      </c>
      <c r="AA82" s="12">
        <v>2111</v>
      </c>
      <c r="AB82" s="12">
        <v>2111</v>
      </c>
      <c r="AC82" s="12">
        <v>2111</v>
      </c>
      <c r="AD82" s="12">
        <v>2111</v>
      </c>
      <c r="AE82" s="12">
        <v>2111</v>
      </c>
      <c r="AF82" s="12">
        <v>2111</v>
      </c>
      <c r="AG82" s="12">
        <v>2111</v>
      </c>
      <c r="AH82" s="12">
        <v>9853</v>
      </c>
      <c r="AJ82" s="12"/>
      <c r="AK82" s="69" t="s">
        <v>4101</v>
      </c>
      <c r="AL82" s="12" t="s">
        <v>599</v>
      </c>
      <c r="AM82" s="12" t="s">
        <v>487</v>
      </c>
      <c r="AN82" s="12" t="s">
        <v>683</v>
      </c>
      <c r="AO82" s="12" t="s">
        <v>683</v>
      </c>
      <c r="AP82" s="12" t="s">
        <v>487</v>
      </c>
      <c r="AQ82" s="12" t="s">
        <v>631</v>
      </c>
      <c r="AR82" s="12" t="s">
        <v>1193</v>
      </c>
      <c r="AS82" s="12" t="s">
        <v>410</v>
      </c>
      <c r="AT82" s="12" t="s">
        <v>524</v>
      </c>
      <c r="AU82" s="12" t="s">
        <v>1154</v>
      </c>
      <c r="AV82" s="12" t="s">
        <v>642</v>
      </c>
      <c r="AW82" s="12" t="s">
        <v>1289</v>
      </c>
      <c r="AX82" s="12" t="s">
        <v>440</v>
      </c>
      <c r="AY82" s="12" t="s">
        <v>440</v>
      </c>
      <c r="AZ82" s="12" t="s">
        <v>511</v>
      </c>
      <c r="BA82" s="12" t="s">
        <v>508</v>
      </c>
      <c r="BB82" s="12" t="s">
        <v>508</v>
      </c>
      <c r="BC82" s="12" t="s">
        <v>1108</v>
      </c>
      <c r="BD82" s="12" t="s">
        <v>1154</v>
      </c>
      <c r="BE82" s="12" t="s">
        <v>1104</v>
      </c>
      <c r="BF82" s="12" t="s">
        <v>439</v>
      </c>
      <c r="BG82" s="12" t="s">
        <v>656</v>
      </c>
      <c r="BH82" s="12" t="s">
        <v>1108</v>
      </c>
      <c r="BI82" s="12" t="s">
        <v>1261</v>
      </c>
      <c r="BJ82" s="12" t="s">
        <v>658</v>
      </c>
      <c r="BK82" s="12" t="s">
        <v>1257</v>
      </c>
      <c r="BL82" s="12" t="s">
        <v>590</v>
      </c>
      <c r="BM82" s="12" t="s">
        <v>528</v>
      </c>
      <c r="BN82" s="12" t="s">
        <v>642</v>
      </c>
      <c r="BO82" s="12" t="s">
        <v>440</v>
      </c>
      <c r="BP82" s="12" t="s">
        <v>662</v>
      </c>
      <c r="BQ82" s="12" t="s">
        <v>439</v>
      </c>
      <c r="BR82" s="12" t="s">
        <v>491</v>
      </c>
      <c r="BS82" s="12" t="s">
        <v>439</v>
      </c>
      <c r="BT82" s="12" t="s">
        <v>439</v>
      </c>
      <c r="BU82" s="12" t="s">
        <v>440</v>
      </c>
      <c r="BV82" s="12" t="s">
        <v>656</v>
      </c>
      <c r="BW82" s="67" t="s">
        <v>487</v>
      </c>
      <c r="BX82" s="67" t="s">
        <v>487</v>
      </c>
      <c r="BY82" s="67" t="s">
        <v>1108</v>
      </c>
      <c r="BZ82" s="67" t="s">
        <v>439</v>
      </c>
      <c r="CA82" s="67" t="s">
        <v>439</v>
      </c>
      <c r="CB82" s="67" t="s">
        <v>656</v>
      </c>
      <c r="CC82" s="67" t="s">
        <v>439</v>
      </c>
      <c r="CD82" s="67" t="s">
        <v>1257</v>
      </c>
      <c r="CE82" s="67" t="s">
        <v>1257</v>
      </c>
      <c r="CF82" s="67" t="s">
        <v>1257</v>
      </c>
      <c r="CG82" s="67" t="s">
        <v>439</v>
      </c>
      <c r="CH82" s="67" t="s">
        <v>439</v>
      </c>
      <c r="CI82" s="67" t="s">
        <v>439</v>
      </c>
      <c r="CJ82" s="67" t="s">
        <v>683</v>
      </c>
      <c r="CK82" s="67" t="s">
        <v>5482</v>
      </c>
      <c r="CL82" s="67" t="s">
        <v>524</v>
      </c>
      <c r="CM82" s="67" t="s">
        <v>642</v>
      </c>
      <c r="CN82" s="67" t="s">
        <v>1242</v>
      </c>
      <c r="CO82" s="67" t="s">
        <v>1193</v>
      </c>
      <c r="CP82" s="67" t="s">
        <v>1154</v>
      </c>
      <c r="CQ82" s="67" t="s">
        <v>590</v>
      </c>
      <c r="CR82" s="67" t="s">
        <v>1258</v>
      </c>
      <c r="CS82" s="67" t="s">
        <v>1104</v>
      </c>
      <c r="CT82" s="67" t="s">
        <v>1104</v>
      </c>
      <c r="CU82" s="67" t="s">
        <v>542</v>
      </c>
      <c r="CV82" s="67" t="s">
        <v>1104</v>
      </c>
      <c r="CW82" s="67" t="s">
        <v>541</v>
      </c>
      <c r="CX82" s="67" t="s">
        <v>396</v>
      </c>
      <c r="CY82" s="67" t="s">
        <v>1104</v>
      </c>
      <c r="CZ82" s="67" t="s">
        <v>658</v>
      </c>
      <c r="DA82" s="67" t="s">
        <v>658</v>
      </c>
      <c r="DB82" s="67" t="s">
        <v>508</v>
      </c>
      <c r="DC82" s="67" t="s">
        <v>508</v>
      </c>
      <c r="DD82" s="67" t="s">
        <v>508</v>
      </c>
      <c r="DE82" s="67" t="s">
        <v>658</v>
      </c>
      <c r="DF82" s="67" t="s">
        <v>656</v>
      </c>
      <c r="DG82" s="67" t="s">
        <v>656</v>
      </c>
      <c r="DH82" s="67" t="s">
        <v>439</v>
      </c>
      <c r="DI82" s="67" t="s">
        <v>440</v>
      </c>
      <c r="DJ82" s="67" t="s">
        <v>1254</v>
      </c>
      <c r="DK82" s="67" t="s">
        <v>599</v>
      </c>
      <c r="DL82" s="67" t="s">
        <v>1254</v>
      </c>
      <c r="DM82" s="67" t="s">
        <v>599</v>
      </c>
      <c r="DN82" s="67" t="s">
        <v>599</v>
      </c>
      <c r="DO82" s="67" t="s">
        <v>599</v>
      </c>
      <c r="DP82" s="67" t="s">
        <v>1254</v>
      </c>
      <c r="DQ82" s="67" t="s">
        <v>599</v>
      </c>
      <c r="DR82" s="67"/>
      <c r="DS82" s="67"/>
      <c r="DT82" s="67"/>
      <c r="DU82" s="67" t="s">
        <v>396</v>
      </c>
      <c r="DV82" s="67" t="s">
        <v>439</v>
      </c>
      <c r="DW82" s="67" t="s">
        <v>440</v>
      </c>
      <c r="DX82" s="67" t="s">
        <v>1266</v>
      </c>
      <c r="DY82" s="67" t="s">
        <v>528</v>
      </c>
      <c r="DZ82" s="67" t="s">
        <v>590</v>
      </c>
      <c r="EA82" s="67" t="s">
        <v>663</v>
      </c>
      <c r="EB82" s="67" t="s">
        <v>439</v>
      </c>
      <c r="EC82" s="67" t="s">
        <v>5554</v>
      </c>
      <c r="ED82" s="67" t="s">
        <v>1104</v>
      </c>
      <c r="EE82" s="67" t="s">
        <v>663</v>
      </c>
      <c r="EF82" s="67"/>
      <c r="EG82" s="67"/>
      <c r="EH82" s="67">
        <v>11</v>
      </c>
      <c r="EM82" t="s">
        <v>5526</v>
      </c>
      <c r="EN82" s="369" t="s">
        <v>439</v>
      </c>
    </row>
    <row r="83" spans="1:144" x14ac:dyDescent="0.2">
      <c r="A83" s="77" t="s">
        <v>1029</v>
      </c>
      <c r="B83" s="77" t="s">
        <v>942</v>
      </c>
      <c r="C83" s="77">
        <v>6</v>
      </c>
      <c r="D83" s="77">
        <v>6</v>
      </c>
      <c r="E83" s="77">
        <v>-4</v>
      </c>
      <c r="F83" s="77"/>
      <c r="G83" s="77"/>
      <c r="H83" s="77">
        <v>-8</v>
      </c>
      <c r="I83" s="77">
        <v>4</v>
      </c>
      <c r="J83" s="77">
        <v>-6</v>
      </c>
      <c r="K83" s="77"/>
      <c r="L83" s="77"/>
      <c r="M83" s="77">
        <v>50</v>
      </c>
      <c r="N83" s="77">
        <v>20</v>
      </c>
      <c r="O83" s="77">
        <v>40</v>
      </c>
      <c r="P83" s="77">
        <v>30</v>
      </c>
      <c r="Q83" s="77">
        <v>15</v>
      </c>
      <c r="R83" s="77">
        <v>18</v>
      </c>
      <c r="S83" s="77">
        <v>5</v>
      </c>
      <c r="T83" s="77">
        <v>0.5</v>
      </c>
      <c r="U83" s="77">
        <v>45</v>
      </c>
      <c r="V83" s="12">
        <f t="shared" si="5"/>
        <v>-2</v>
      </c>
      <c r="W83" s="12">
        <f>Stats!$B$4</f>
        <v>95.697167755991316</v>
      </c>
      <c r="X83" s="77" t="str">
        <f>Taulukko1[[#This Row],[Main Race]]</f>
        <v>Hobbit</v>
      </c>
      <c r="Z83" s="12" t="s">
        <v>942</v>
      </c>
      <c r="AA83" s="12">
        <v>2111</v>
      </c>
      <c r="AB83" s="12">
        <v>6543</v>
      </c>
      <c r="AC83" s="12">
        <v>2111</v>
      </c>
      <c r="AD83" s="12">
        <v>4322</v>
      </c>
      <c r="AE83" s="12">
        <v>2111</v>
      </c>
      <c r="AF83" s="12">
        <v>4322</v>
      </c>
      <c r="AG83" s="12">
        <v>3221</v>
      </c>
      <c r="AH83" s="12">
        <v>6321</v>
      </c>
      <c r="AJ83" s="12"/>
      <c r="AK83" s="69" t="s">
        <v>4104</v>
      </c>
      <c r="AL83" s="12" t="s">
        <v>487</v>
      </c>
      <c r="AM83" s="12" t="s">
        <v>590</v>
      </c>
      <c r="AN83" s="12" t="s">
        <v>590</v>
      </c>
      <c r="AO83" s="12" t="s">
        <v>590</v>
      </c>
      <c r="AP83" s="12" t="s">
        <v>683</v>
      </c>
      <c r="AQ83" s="12" t="s">
        <v>1280</v>
      </c>
      <c r="AR83" s="12" t="s">
        <v>1257</v>
      </c>
      <c r="AS83" s="12" t="s">
        <v>656</v>
      </c>
      <c r="AT83" s="12" t="s">
        <v>1242</v>
      </c>
      <c r="AU83" s="12" t="s">
        <v>396</v>
      </c>
      <c r="AV83" s="12" t="s">
        <v>1154</v>
      </c>
      <c r="AW83" s="12" t="s">
        <v>1117</v>
      </c>
      <c r="AX83" s="12" t="s">
        <v>647</v>
      </c>
      <c r="AY83" s="12" t="s">
        <v>647</v>
      </c>
      <c r="AZ83" s="12" t="s">
        <v>542</v>
      </c>
      <c r="BA83" s="12" t="s">
        <v>396</v>
      </c>
      <c r="BB83" s="12" t="s">
        <v>396</v>
      </c>
      <c r="BC83" s="12" t="s">
        <v>468</v>
      </c>
      <c r="BD83" s="12" t="s">
        <v>1264</v>
      </c>
      <c r="BE83" s="12" t="s">
        <v>1117</v>
      </c>
      <c r="BF83" s="12" t="s">
        <v>440</v>
      </c>
      <c r="BG83" s="12" t="s">
        <v>1108</v>
      </c>
      <c r="BH83" s="12" t="s">
        <v>468</v>
      </c>
      <c r="BI83" s="12" t="s">
        <v>1266</v>
      </c>
      <c r="BJ83" s="69" t="s">
        <v>4147</v>
      </c>
      <c r="BK83" s="12" t="s">
        <v>1263</v>
      </c>
      <c r="BL83" s="12"/>
      <c r="BM83" s="12" t="s">
        <v>439</v>
      </c>
      <c r="BN83" s="12" t="s">
        <v>1154</v>
      </c>
      <c r="BO83" s="12" t="s">
        <v>508</v>
      </c>
      <c r="BP83" s="12" t="s">
        <v>1104</v>
      </c>
      <c r="BQ83" s="12" t="s">
        <v>440</v>
      </c>
      <c r="BR83" s="69" t="s">
        <v>4165</v>
      </c>
      <c r="BS83" s="12" t="s">
        <v>662</v>
      </c>
      <c r="BT83" s="12" t="s">
        <v>440</v>
      </c>
      <c r="BU83" s="12" t="s">
        <v>647</v>
      </c>
      <c r="BV83" s="12"/>
      <c r="BW83" s="67" t="s">
        <v>1261</v>
      </c>
      <c r="BX83" s="67" t="s">
        <v>1261</v>
      </c>
      <c r="BY83" s="67" t="s">
        <v>468</v>
      </c>
      <c r="BZ83" s="67" t="s">
        <v>440</v>
      </c>
      <c r="CA83" s="67" t="s">
        <v>440</v>
      </c>
      <c r="CB83" s="67" t="s">
        <v>1262</v>
      </c>
      <c r="CC83" s="67" t="s">
        <v>440</v>
      </c>
      <c r="CD83" s="67" t="s">
        <v>1242</v>
      </c>
      <c r="CE83" s="67" t="s">
        <v>1263</v>
      </c>
      <c r="CF83" s="67" t="s">
        <v>1263</v>
      </c>
      <c r="CG83" s="67" t="s">
        <v>440</v>
      </c>
      <c r="CH83" s="67" t="s">
        <v>440</v>
      </c>
      <c r="CI83" s="67" t="s">
        <v>440</v>
      </c>
      <c r="CJ83" s="67" t="s">
        <v>590</v>
      </c>
      <c r="CK83" s="67" t="s">
        <v>541</v>
      </c>
      <c r="CL83" s="67" t="s">
        <v>1242</v>
      </c>
      <c r="CM83" s="67" t="s">
        <v>1154</v>
      </c>
      <c r="CN83" s="67" t="s">
        <v>656</v>
      </c>
      <c r="CO83" s="67" t="s">
        <v>1257</v>
      </c>
      <c r="CP83" s="67" t="s">
        <v>1264</v>
      </c>
      <c r="CQ83" s="67" t="s">
        <v>241</v>
      </c>
      <c r="CR83" s="67" t="s">
        <v>529</v>
      </c>
      <c r="CS83" s="67" t="s">
        <v>1117</v>
      </c>
      <c r="CT83" s="67" t="s">
        <v>1117</v>
      </c>
      <c r="CU83" s="67" t="s">
        <v>1104</v>
      </c>
      <c r="CV83" s="67" t="s">
        <v>1117</v>
      </c>
      <c r="CW83" s="67" t="s">
        <v>542</v>
      </c>
      <c r="CX83" s="67" t="s">
        <v>541</v>
      </c>
      <c r="CY83" s="67" t="s">
        <v>1117</v>
      </c>
      <c r="CZ83" s="67" t="s">
        <v>656</v>
      </c>
      <c r="DA83" s="67" t="s">
        <v>656</v>
      </c>
      <c r="DB83" s="67" t="s">
        <v>396</v>
      </c>
      <c r="DC83" s="67" t="s">
        <v>396</v>
      </c>
      <c r="DD83" s="67" t="s">
        <v>396</v>
      </c>
      <c r="DE83" s="67" t="s">
        <v>656</v>
      </c>
      <c r="DF83" s="67" t="s">
        <v>468</v>
      </c>
      <c r="DG83" s="67" t="s">
        <v>468</v>
      </c>
      <c r="DH83" s="67" t="s">
        <v>468</v>
      </c>
      <c r="DI83" s="67" t="s">
        <v>524</v>
      </c>
      <c r="DJ83" s="67" t="s">
        <v>1261</v>
      </c>
      <c r="DK83" s="67" t="s">
        <v>1254</v>
      </c>
      <c r="DL83" s="67" t="s">
        <v>1261</v>
      </c>
      <c r="DM83" s="67" t="s">
        <v>1254</v>
      </c>
      <c r="DN83" s="67" t="s">
        <v>1254</v>
      </c>
      <c r="DO83" s="67" t="s">
        <v>1254</v>
      </c>
      <c r="DP83" s="67" t="s">
        <v>1261</v>
      </c>
      <c r="DQ83" s="67" t="s">
        <v>1254</v>
      </c>
      <c r="DR83" s="67"/>
      <c r="DS83" s="67"/>
      <c r="DT83" s="67"/>
      <c r="DU83" s="67" t="s">
        <v>524</v>
      </c>
      <c r="DV83" s="67" t="s">
        <v>662</v>
      </c>
      <c r="DW83" s="67" t="s">
        <v>647</v>
      </c>
      <c r="DX83" s="67" t="s">
        <v>590</v>
      </c>
      <c r="DY83" s="67" t="s">
        <v>590</v>
      </c>
      <c r="DZ83" s="67" t="s">
        <v>5510</v>
      </c>
      <c r="EA83" s="67" t="s">
        <v>656</v>
      </c>
      <c r="EB83" s="67" t="s">
        <v>647</v>
      </c>
      <c r="EC83" s="67" t="s">
        <v>532</v>
      </c>
      <c r="ED83" s="67" t="s">
        <v>663</v>
      </c>
      <c r="EE83" s="67" t="s">
        <v>656</v>
      </c>
      <c r="EF83" s="67"/>
      <c r="EG83" s="67"/>
      <c r="EH83" s="67">
        <v>12</v>
      </c>
      <c r="EM83" t="s">
        <v>5526</v>
      </c>
      <c r="EN83" s="368" t="s">
        <v>524</v>
      </c>
    </row>
    <row r="84" spans="1:144" x14ac:dyDescent="0.2">
      <c r="A84" s="77" t="s">
        <v>886</v>
      </c>
      <c r="B84" s="77" t="s">
        <v>4237</v>
      </c>
      <c r="C84" s="77">
        <v>8</v>
      </c>
      <c r="D84" s="77">
        <v>6</v>
      </c>
      <c r="E84" s="77">
        <v>-4</v>
      </c>
      <c r="F84" s="77"/>
      <c r="G84" s="77"/>
      <c r="H84" s="77">
        <v>-4</v>
      </c>
      <c r="I84" s="77">
        <v>4</v>
      </c>
      <c r="J84" s="77">
        <v>-6</v>
      </c>
      <c r="K84" s="77"/>
      <c r="L84" s="77"/>
      <c r="M84" s="77">
        <v>25</v>
      </c>
      <c r="N84" s="77">
        <v>10</v>
      </c>
      <c r="O84" s="77">
        <v>20</v>
      </c>
      <c r="P84" s="77">
        <v>50</v>
      </c>
      <c r="Q84" s="77">
        <v>15</v>
      </c>
      <c r="R84" s="77">
        <v>1</v>
      </c>
      <c r="S84" s="77">
        <v>5</v>
      </c>
      <c r="T84" s="77">
        <v>0.5</v>
      </c>
      <c r="U84" s="77">
        <v>50</v>
      </c>
      <c r="V84" s="12">
        <f t="shared" si="5"/>
        <v>4</v>
      </c>
      <c r="W84" s="12">
        <f>Stats!$B$4</f>
        <v>95.697167755991316</v>
      </c>
      <c r="X84" s="77" t="str">
        <f>Taulukko1[[#This Row],[Main Race]]</f>
        <v>Halfling</v>
      </c>
      <c r="Z84" s="12" t="s">
        <v>4237</v>
      </c>
      <c r="AA84" s="12">
        <v>2111</v>
      </c>
      <c r="AB84" s="12">
        <v>6543</v>
      </c>
      <c r="AC84" s="12">
        <v>2111</v>
      </c>
      <c r="AD84" s="12">
        <v>4322</v>
      </c>
      <c r="AE84" s="12">
        <v>2111</v>
      </c>
      <c r="AF84" s="12">
        <v>4322</v>
      </c>
      <c r="AG84" s="12">
        <v>3221</v>
      </c>
      <c r="AH84" s="12">
        <v>6321</v>
      </c>
      <c r="AJ84" s="12"/>
      <c r="AK84" s="69" t="s">
        <v>4097</v>
      </c>
      <c r="AL84" s="12" t="s">
        <v>590</v>
      </c>
      <c r="AM84" s="12" t="s">
        <v>439</v>
      </c>
      <c r="AN84" s="12" t="s">
        <v>439</v>
      </c>
      <c r="AO84" s="12" t="s">
        <v>439</v>
      </c>
      <c r="AP84" s="12" t="s">
        <v>590</v>
      </c>
      <c r="AQ84" s="12" t="s">
        <v>468</v>
      </c>
      <c r="AR84" s="12" t="s">
        <v>529</v>
      </c>
      <c r="AS84" s="12" t="s">
        <v>173</v>
      </c>
      <c r="AT84" s="12" t="s">
        <v>1267</v>
      </c>
      <c r="AU84" s="12" t="s">
        <v>401</v>
      </c>
      <c r="AV84" s="12" t="s">
        <v>599</v>
      </c>
      <c r="AW84" s="12" t="s">
        <v>590</v>
      </c>
      <c r="AX84" s="12" t="s">
        <v>662</v>
      </c>
      <c r="AY84" s="12" t="s">
        <v>662</v>
      </c>
      <c r="AZ84" s="12" t="s">
        <v>656</v>
      </c>
      <c r="BA84" s="12" t="s">
        <v>647</v>
      </c>
      <c r="BB84" s="12" t="s">
        <v>647</v>
      </c>
      <c r="BC84" s="12" t="s">
        <v>517</v>
      </c>
      <c r="BD84" s="12" t="s">
        <v>487</v>
      </c>
      <c r="BE84" s="12" t="s">
        <v>1107</v>
      </c>
      <c r="BF84" s="12" t="s">
        <v>508</v>
      </c>
      <c r="BG84" s="12" t="s">
        <v>468</v>
      </c>
      <c r="BH84" s="12" t="s">
        <v>517</v>
      </c>
      <c r="BI84" s="12" t="s">
        <v>439</v>
      </c>
      <c r="BJ84" s="69" t="s">
        <v>4094</v>
      </c>
      <c r="BK84" s="12" t="s">
        <v>1242</v>
      </c>
      <c r="BL84" s="12"/>
      <c r="BM84" s="12" t="s">
        <v>440</v>
      </c>
      <c r="BN84" s="12" t="s">
        <v>4158</v>
      </c>
      <c r="BO84" s="12" t="s">
        <v>396</v>
      </c>
      <c r="BP84" s="12" t="s">
        <v>1107</v>
      </c>
      <c r="BQ84" s="12" t="s">
        <v>508</v>
      </c>
      <c r="BR84" s="69" t="s">
        <v>4164</v>
      </c>
      <c r="BS84" s="12" t="s">
        <v>542</v>
      </c>
      <c r="BT84" s="12" t="s">
        <v>508</v>
      </c>
      <c r="BU84" s="12" t="s">
        <v>662</v>
      </c>
      <c r="BV84" s="12" t="s">
        <v>642</v>
      </c>
      <c r="BW84" s="67" t="s">
        <v>1266</v>
      </c>
      <c r="BX84" s="67" t="s">
        <v>1266</v>
      </c>
      <c r="BY84" s="67" t="s">
        <v>517</v>
      </c>
      <c r="BZ84" s="67" t="s">
        <v>508</v>
      </c>
      <c r="CA84" s="67" t="s">
        <v>508</v>
      </c>
      <c r="CB84" s="67" t="s">
        <v>418</v>
      </c>
      <c r="CC84" s="67" t="s">
        <v>508</v>
      </c>
      <c r="CD84" s="67" t="s">
        <v>663</v>
      </c>
      <c r="CE84" s="67" t="s">
        <v>1242</v>
      </c>
      <c r="CF84" s="67" t="s">
        <v>1242</v>
      </c>
      <c r="CG84" s="67" t="s">
        <v>508</v>
      </c>
      <c r="CH84" s="67" t="s">
        <v>508</v>
      </c>
      <c r="CI84" s="67" t="s">
        <v>508</v>
      </c>
      <c r="CJ84" s="67" t="s">
        <v>439</v>
      </c>
      <c r="CK84" s="67" t="s">
        <v>662</v>
      </c>
      <c r="CL84" s="67" t="s">
        <v>1267</v>
      </c>
      <c r="CM84" s="67" t="s">
        <v>599</v>
      </c>
      <c r="CN84" s="67" t="s">
        <v>173</v>
      </c>
      <c r="CO84" s="67" t="s">
        <v>529</v>
      </c>
      <c r="CP84" s="67" t="s">
        <v>487</v>
      </c>
      <c r="CQ84" s="67" t="s">
        <v>439</v>
      </c>
      <c r="CR84" s="67" t="s">
        <v>662</v>
      </c>
      <c r="CS84" s="67" t="s">
        <v>1107</v>
      </c>
      <c r="CT84" s="67" t="s">
        <v>1107</v>
      </c>
      <c r="CU84" s="67" t="s">
        <v>1117</v>
      </c>
      <c r="CV84" s="67" t="s">
        <v>1107</v>
      </c>
      <c r="CW84" s="67" t="s">
        <v>1104</v>
      </c>
      <c r="CX84" s="67" t="s">
        <v>662</v>
      </c>
      <c r="CY84" s="67" t="s">
        <v>1107</v>
      </c>
      <c r="CZ84" s="67" t="s">
        <v>1268</v>
      </c>
      <c r="DA84" s="67" t="s">
        <v>1268</v>
      </c>
      <c r="DB84" s="67" t="s">
        <v>647</v>
      </c>
      <c r="DC84" s="67" t="s">
        <v>647</v>
      </c>
      <c r="DD84" s="67" t="s">
        <v>647</v>
      </c>
      <c r="DE84" s="67" t="s">
        <v>468</v>
      </c>
      <c r="DF84" s="67" t="s">
        <v>1254</v>
      </c>
      <c r="DG84" s="67" t="s">
        <v>1254</v>
      </c>
      <c r="DH84" s="67" t="s">
        <v>1254</v>
      </c>
      <c r="DI84" s="67" t="s">
        <v>1269</v>
      </c>
      <c r="DJ84" s="67" t="s">
        <v>1270</v>
      </c>
      <c r="DK84" s="67" t="s">
        <v>1261</v>
      </c>
      <c r="DL84" s="67" t="s">
        <v>1270</v>
      </c>
      <c r="DM84" s="67" t="s">
        <v>1261</v>
      </c>
      <c r="DN84" s="67" t="s">
        <v>1261</v>
      </c>
      <c r="DO84" s="67" t="s">
        <v>1261</v>
      </c>
      <c r="DP84" s="67" t="s">
        <v>1270</v>
      </c>
      <c r="DQ84" s="67" t="s">
        <v>1261</v>
      </c>
      <c r="DR84" s="67"/>
      <c r="DS84" s="67"/>
      <c r="DT84" s="67"/>
      <c r="DU84" s="67" t="s">
        <v>1104</v>
      </c>
      <c r="DV84" s="67" t="s">
        <v>542</v>
      </c>
      <c r="DW84" s="67" t="s">
        <v>662</v>
      </c>
      <c r="DX84" s="67" t="s">
        <v>439</v>
      </c>
      <c r="DY84" s="67" t="s">
        <v>439</v>
      </c>
      <c r="DZ84" s="67" t="s">
        <v>5513</v>
      </c>
      <c r="EA84" s="67" t="s">
        <v>5511</v>
      </c>
      <c r="EB84" s="67" t="s">
        <v>662</v>
      </c>
      <c r="EC84" s="67" t="s">
        <v>5511</v>
      </c>
      <c r="ED84" s="67" t="s">
        <v>656</v>
      </c>
      <c r="EE84" s="67" t="s">
        <v>5511</v>
      </c>
      <c r="EF84" s="67"/>
      <c r="EG84" s="67"/>
      <c r="EH84" s="67">
        <v>13</v>
      </c>
      <c r="EM84" t="s">
        <v>5526</v>
      </c>
      <c r="EN84" s="369" t="s">
        <v>647</v>
      </c>
    </row>
    <row r="85" spans="1:144" x14ac:dyDescent="0.2">
      <c r="A85" s="77" t="s">
        <v>3942</v>
      </c>
      <c r="B85" s="77" t="s">
        <v>4040</v>
      </c>
      <c r="C85" s="77">
        <v>2</v>
      </c>
      <c r="D85" s="77">
        <v>4</v>
      </c>
      <c r="E85" s="77">
        <v>-3</v>
      </c>
      <c r="F85" s="77">
        <v>2</v>
      </c>
      <c r="G85" s="77"/>
      <c r="H85" s="77"/>
      <c r="I85" s="77">
        <v>4</v>
      </c>
      <c r="J85" s="77">
        <v>4</v>
      </c>
      <c r="K85" s="77">
        <v>2</v>
      </c>
      <c r="L85" s="77">
        <v>2</v>
      </c>
      <c r="M85" s="77"/>
      <c r="N85" s="77"/>
      <c r="O85" s="77"/>
      <c r="P85" s="77">
        <v>10</v>
      </c>
      <c r="Q85" s="77">
        <v>100</v>
      </c>
      <c r="R85" s="77">
        <v>1</v>
      </c>
      <c r="S85" s="77">
        <v>2</v>
      </c>
      <c r="T85" s="77">
        <v>2</v>
      </c>
      <c r="U85" s="77">
        <v>10</v>
      </c>
      <c r="V85" s="12">
        <f t="shared" si="5"/>
        <v>17</v>
      </c>
      <c r="W85" s="12"/>
      <c r="X85" s="77" t="str">
        <f>Taulukko1[[#This Row],[Main Race]]</f>
        <v>Elf</v>
      </c>
      <c r="Z85" s="12" t="s">
        <v>4040</v>
      </c>
      <c r="AA85" s="12">
        <v>7654</v>
      </c>
      <c r="AB85" s="12">
        <v>6543</v>
      </c>
      <c r="AC85" s="12">
        <v>6543</v>
      </c>
      <c r="AD85" s="12">
        <v>6543</v>
      </c>
      <c r="AE85" s="12">
        <v>6543</v>
      </c>
      <c r="AF85" s="12">
        <v>6543</v>
      </c>
      <c r="AG85" s="12">
        <v>6543</v>
      </c>
      <c r="AH85" s="12">
        <v>7321</v>
      </c>
      <c r="AJ85" s="12"/>
      <c r="AK85" s="12" t="s">
        <v>1155</v>
      </c>
      <c r="AL85" s="12" t="s">
        <v>439</v>
      </c>
      <c r="AM85" s="12" t="s">
        <v>3962</v>
      </c>
      <c r="AN85" s="12" t="s">
        <v>440</v>
      </c>
      <c r="AO85" s="12" t="s">
        <v>440</v>
      </c>
      <c r="AP85" s="12" t="s">
        <v>439</v>
      </c>
      <c r="AQ85" s="12" t="s">
        <v>1109</v>
      </c>
      <c r="AR85" s="12" t="s">
        <v>662</v>
      </c>
      <c r="AS85" s="12" t="s">
        <v>532</v>
      </c>
      <c r="AT85" s="12" t="s">
        <v>1272</v>
      </c>
      <c r="AU85" s="12" t="s">
        <v>439</v>
      </c>
      <c r="AV85" s="12" t="s">
        <v>1193</v>
      </c>
      <c r="AW85" s="12" t="s">
        <v>4114</v>
      </c>
      <c r="AX85" s="12" t="s">
        <v>1289</v>
      </c>
      <c r="AY85" s="12" t="s">
        <v>1289</v>
      </c>
      <c r="AZ85" s="12"/>
      <c r="BA85" s="12" t="s">
        <v>511</v>
      </c>
      <c r="BB85" s="12" t="s">
        <v>511</v>
      </c>
      <c r="BC85" s="12" t="s">
        <v>430</v>
      </c>
      <c r="BD85" s="12" t="s">
        <v>529</v>
      </c>
      <c r="BE85" s="12" t="s">
        <v>656</v>
      </c>
      <c r="BF85" s="12" t="s">
        <v>396</v>
      </c>
      <c r="BG85" s="12" t="s">
        <v>517</v>
      </c>
      <c r="BH85" s="12" t="s">
        <v>430</v>
      </c>
      <c r="BI85" s="12" t="s">
        <v>524</v>
      </c>
      <c r="BJ85" s="12" t="s">
        <v>1243</v>
      </c>
      <c r="BK85" s="12" t="s">
        <v>662</v>
      </c>
      <c r="BL85" s="12"/>
      <c r="BM85" s="12" t="s">
        <v>508</v>
      </c>
      <c r="BN85" s="12" t="s">
        <v>487</v>
      </c>
      <c r="BO85" s="12" t="s">
        <v>529</v>
      </c>
      <c r="BP85" s="12" t="s">
        <v>656</v>
      </c>
      <c r="BQ85" s="12" t="s">
        <v>396</v>
      </c>
      <c r="BR85" s="12" t="s">
        <v>1108</v>
      </c>
      <c r="BS85" s="12"/>
      <c r="BT85" s="12" t="s">
        <v>396</v>
      </c>
      <c r="BU85" s="12" t="s">
        <v>663</v>
      </c>
      <c r="BV85" s="12" t="s">
        <v>652</v>
      </c>
      <c r="BW85" s="67" t="s">
        <v>590</v>
      </c>
      <c r="BX85" s="67" t="s">
        <v>590</v>
      </c>
      <c r="BY85" s="67" t="s">
        <v>430</v>
      </c>
      <c r="BZ85" s="67" t="s">
        <v>396</v>
      </c>
      <c r="CA85" s="67" t="s">
        <v>396</v>
      </c>
      <c r="CB85" s="67" t="s">
        <v>173</v>
      </c>
      <c r="CC85" s="67" t="s">
        <v>396</v>
      </c>
      <c r="CD85" s="67" t="s">
        <v>656</v>
      </c>
      <c r="CE85" s="67" t="s">
        <v>662</v>
      </c>
      <c r="CF85" s="67" t="s">
        <v>662</v>
      </c>
      <c r="CG85" s="67" t="s">
        <v>396</v>
      </c>
      <c r="CH85" s="67" t="s">
        <v>396</v>
      </c>
      <c r="CI85" s="67" t="s">
        <v>396</v>
      </c>
      <c r="CJ85" s="67" t="s">
        <v>440</v>
      </c>
      <c r="CK85" s="67" t="s">
        <v>5485</v>
      </c>
      <c r="CL85" s="67" t="s">
        <v>1272</v>
      </c>
      <c r="CM85" s="67" t="s">
        <v>1193</v>
      </c>
      <c r="CN85" s="67" t="s">
        <v>532</v>
      </c>
      <c r="CO85" s="67" t="s">
        <v>662</v>
      </c>
      <c r="CP85" s="67" t="s">
        <v>529</v>
      </c>
      <c r="CQ85" s="67" t="s">
        <v>1258</v>
      </c>
      <c r="CR85" s="67" t="s">
        <v>663</v>
      </c>
      <c r="CS85" s="67" t="s">
        <v>656</v>
      </c>
      <c r="CT85" s="67" t="s">
        <v>656</v>
      </c>
      <c r="CU85" s="67" t="s">
        <v>1107</v>
      </c>
      <c r="CV85" s="67" t="s">
        <v>656</v>
      </c>
      <c r="CW85" s="67" t="s">
        <v>1117</v>
      </c>
      <c r="CX85" s="67" t="s">
        <v>511</v>
      </c>
      <c r="CY85" s="67" t="s">
        <v>656</v>
      </c>
      <c r="CZ85" s="67" t="s">
        <v>468</v>
      </c>
      <c r="DA85" s="67" t="s">
        <v>468</v>
      </c>
      <c r="DB85" s="67" t="s">
        <v>511</v>
      </c>
      <c r="DC85" s="67" t="s">
        <v>511</v>
      </c>
      <c r="DD85" s="67" t="s">
        <v>511</v>
      </c>
      <c r="DE85" s="67" t="s">
        <v>487</v>
      </c>
      <c r="DF85" s="67" t="s">
        <v>1273</v>
      </c>
      <c r="DG85" s="67" t="s">
        <v>1273</v>
      </c>
      <c r="DH85" s="67" t="s">
        <v>505</v>
      </c>
      <c r="DI85" s="67" t="s">
        <v>1274</v>
      </c>
      <c r="DJ85" s="67" t="s">
        <v>440</v>
      </c>
      <c r="DK85" s="67" t="s">
        <v>1270</v>
      </c>
      <c r="DL85" s="67" t="s">
        <v>440</v>
      </c>
      <c r="DM85" s="67" t="s">
        <v>1270</v>
      </c>
      <c r="DN85" s="67" t="s">
        <v>1270</v>
      </c>
      <c r="DO85" s="67" t="s">
        <v>1270</v>
      </c>
      <c r="DP85" s="67" t="s">
        <v>440</v>
      </c>
      <c r="DQ85" s="67" t="s">
        <v>1270</v>
      </c>
      <c r="DR85" s="67"/>
      <c r="DS85" s="67"/>
      <c r="DT85" s="67"/>
      <c r="DU85" s="67" t="s">
        <v>656</v>
      </c>
      <c r="DV85" s="67" t="s">
        <v>1104</v>
      </c>
      <c r="DW85" s="67" t="s">
        <v>663</v>
      </c>
      <c r="DX85" s="67" t="s">
        <v>440</v>
      </c>
      <c r="DY85" s="67" t="s">
        <v>524</v>
      </c>
      <c r="DZ85" s="67" t="s">
        <v>1104</v>
      </c>
      <c r="EA85" s="67" t="s">
        <v>5509</v>
      </c>
      <c r="EB85" s="67" t="s">
        <v>511</v>
      </c>
      <c r="EC85" s="67" t="s">
        <v>5553</v>
      </c>
      <c r="ED85" s="67" t="s">
        <v>5511</v>
      </c>
      <c r="EE85" s="67" t="s">
        <v>5509</v>
      </c>
      <c r="EF85" s="67"/>
      <c r="EG85" s="67"/>
      <c r="EH85" s="67">
        <v>14</v>
      </c>
      <c r="EM85" t="s">
        <v>5526</v>
      </c>
      <c r="EN85" s="369" t="s">
        <v>511</v>
      </c>
    </row>
    <row r="86" spans="1:144" x14ac:dyDescent="0.2">
      <c r="A86" s="77" t="s">
        <v>4055</v>
      </c>
      <c r="B86" s="77" t="s">
        <v>4061</v>
      </c>
      <c r="C86" s="77">
        <v>2</v>
      </c>
      <c r="D86" s="77"/>
      <c r="E86" s="77">
        <v>2</v>
      </c>
      <c r="F86" s="77"/>
      <c r="G86" s="77"/>
      <c r="H86" s="77">
        <v>2</v>
      </c>
      <c r="I86" s="77"/>
      <c r="J86" s="77"/>
      <c r="K86" s="77">
        <v>2</v>
      </c>
      <c r="L86" s="77"/>
      <c r="M86" s="77"/>
      <c r="N86" s="77"/>
      <c r="O86" s="77"/>
      <c r="P86" s="77"/>
      <c r="Q86" s="77"/>
      <c r="R86" s="77">
        <v>1</v>
      </c>
      <c r="S86" s="77">
        <v>5</v>
      </c>
      <c r="T86" s="77">
        <v>0.9</v>
      </c>
      <c r="U86" s="77">
        <v>50</v>
      </c>
      <c r="V86" s="12">
        <f t="shared" si="5"/>
        <v>8</v>
      </c>
      <c r="W86" s="12"/>
      <c r="X86" s="77" t="str">
        <f>Taulukko1[[#This Row],[Main Race]]</f>
        <v>Human</v>
      </c>
      <c r="Z86" s="12" t="s">
        <v>4061</v>
      </c>
      <c r="AA86" s="12">
        <v>6543</v>
      </c>
      <c r="AB86" s="12">
        <v>6543</v>
      </c>
      <c r="AC86" s="12">
        <v>7654</v>
      </c>
      <c r="AD86" s="12">
        <v>6543</v>
      </c>
      <c r="AE86" s="12">
        <v>6543</v>
      </c>
      <c r="AF86" s="12">
        <v>6543</v>
      </c>
      <c r="AG86" s="12">
        <v>6543</v>
      </c>
      <c r="AH86" s="12">
        <v>6421</v>
      </c>
      <c r="AJ86" s="12"/>
      <c r="AK86" s="12" t="s">
        <v>4105</v>
      </c>
      <c r="AL86" s="12" t="s">
        <v>3962</v>
      </c>
      <c r="AM86" s="12" t="s">
        <v>662</v>
      </c>
      <c r="AN86" s="12" t="s">
        <v>647</v>
      </c>
      <c r="AO86" s="12" t="s">
        <v>647</v>
      </c>
      <c r="AP86" s="12" t="s">
        <v>440</v>
      </c>
      <c r="AQ86" s="12" t="s">
        <v>401</v>
      </c>
      <c r="AR86" s="12" t="s">
        <v>511</v>
      </c>
      <c r="AS86" s="12" t="s">
        <v>631</v>
      </c>
      <c r="AT86" s="12" t="s">
        <v>1115</v>
      </c>
      <c r="AU86" s="12" t="s">
        <v>508</v>
      </c>
      <c r="AV86" s="12" t="s">
        <v>439</v>
      </c>
      <c r="AW86" s="12" t="s">
        <v>652</v>
      </c>
      <c r="AX86" s="12" t="s">
        <v>1117</v>
      </c>
      <c r="AY86" s="12" t="s">
        <v>1117</v>
      </c>
      <c r="AZ86" s="12" t="s">
        <v>468</v>
      </c>
      <c r="BA86" s="12" t="s">
        <v>542</v>
      </c>
      <c r="BB86" s="12" t="s">
        <v>542</v>
      </c>
      <c r="BC86" s="12" t="s">
        <v>658</v>
      </c>
      <c r="BD86" s="12" t="s">
        <v>1269</v>
      </c>
      <c r="BE86" s="12" t="s">
        <v>512</v>
      </c>
      <c r="BF86" s="12" t="s">
        <v>529</v>
      </c>
      <c r="BG86" s="12" t="s">
        <v>430</v>
      </c>
      <c r="BH86" s="12" t="s">
        <v>658</v>
      </c>
      <c r="BI86" s="12" t="s">
        <v>1104</v>
      </c>
      <c r="BJ86" s="12" t="s">
        <v>4149</v>
      </c>
      <c r="BK86" s="12" t="s">
        <v>656</v>
      </c>
      <c r="BL86" s="12"/>
      <c r="BM86" s="12" t="s">
        <v>396</v>
      </c>
      <c r="BN86" s="12" t="s">
        <v>4157</v>
      </c>
      <c r="BO86" s="12" t="s">
        <v>647</v>
      </c>
      <c r="BP86" s="12" t="s">
        <v>1108</v>
      </c>
      <c r="BQ86" s="12" t="s">
        <v>529</v>
      </c>
      <c r="BR86" s="12" t="s">
        <v>1338</v>
      </c>
      <c r="BS86" s="12" t="s">
        <v>656</v>
      </c>
      <c r="BT86" s="12" t="s">
        <v>529</v>
      </c>
      <c r="BU86" s="12" t="s">
        <v>656</v>
      </c>
      <c r="BV86" s="12" t="s">
        <v>396</v>
      </c>
      <c r="BW86" s="67" t="s">
        <v>439</v>
      </c>
      <c r="BX86" s="67" t="s">
        <v>439</v>
      </c>
      <c r="BY86" s="67" t="s">
        <v>658</v>
      </c>
      <c r="BZ86" s="67" t="s">
        <v>529</v>
      </c>
      <c r="CA86" s="67" t="s">
        <v>529</v>
      </c>
      <c r="CB86" s="67" t="s">
        <v>532</v>
      </c>
      <c r="CC86" s="67" t="s">
        <v>529</v>
      </c>
      <c r="CD86" s="67" t="s">
        <v>1272</v>
      </c>
      <c r="CE86" s="67" t="s">
        <v>656</v>
      </c>
      <c r="CF86" s="67" t="s">
        <v>656</v>
      </c>
      <c r="CG86" s="67" t="s">
        <v>529</v>
      </c>
      <c r="CH86" s="67" t="s">
        <v>529</v>
      </c>
      <c r="CI86" s="67" t="s">
        <v>529</v>
      </c>
      <c r="CJ86" s="67" t="s">
        <v>647</v>
      </c>
      <c r="CK86" s="67" t="s">
        <v>1104</v>
      </c>
      <c r="CL86" s="67" t="s">
        <v>1115</v>
      </c>
      <c r="CM86" s="67" t="s">
        <v>439</v>
      </c>
      <c r="CN86" s="67" t="s">
        <v>631</v>
      </c>
      <c r="CO86" s="67" t="s">
        <v>511</v>
      </c>
      <c r="CP86" s="67" t="s">
        <v>1269</v>
      </c>
      <c r="CQ86" s="67" t="s">
        <v>1263</v>
      </c>
      <c r="CR86" s="67" t="s">
        <v>656</v>
      </c>
      <c r="CS86" s="67" t="s">
        <v>512</v>
      </c>
      <c r="CT86" s="67" t="s">
        <v>512</v>
      </c>
      <c r="CU86" s="67" t="s">
        <v>656</v>
      </c>
      <c r="CV86" s="67" t="s">
        <v>512</v>
      </c>
      <c r="CW86" s="67" t="s">
        <v>1107</v>
      </c>
      <c r="CX86" s="67" t="s">
        <v>542</v>
      </c>
      <c r="CY86" s="67" t="s">
        <v>512</v>
      </c>
      <c r="CZ86" s="67" t="s">
        <v>487</v>
      </c>
      <c r="DA86" s="67" t="s">
        <v>487</v>
      </c>
      <c r="DB86" s="67" t="s">
        <v>542</v>
      </c>
      <c r="DC86" s="67" t="s">
        <v>542</v>
      </c>
      <c r="DD86" s="67" t="s">
        <v>542</v>
      </c>
      <c r="DE86" s="67" t="s">
        <v>1276</v>
      </c>
      <c r="DF86" s="67" t="s">
        <v>541</v>
      </c>
      <c r="DG86" s="67" t="s">
        <v>541</v>
      </c>
      <c r="DH86" s="67" t="s">
        <v>1277</v>
      </c>
      <c r="DI86" s="67" t="s">
        <v>541</v>
      </c>
      <c r="DJ86" s="67" t="s">
        <v>4660</v>
      </c>
      <c r="DK86" s="67" t="s">
        <v>440</v>
      </c>
      <c r="DL86" s="67" t="s">
        <v>4660</v>
      </c>
      <c r="DM86" s="67" t="s">
        <v>440</v>
      </c>
      <c r="DN86" s="67" t="s">
        <v>440</v>
      </c>
      <c r="DO86" s="67" t="s">
        <v>440</v>
      </c>
      <c r="DP86" s="67" t="s">
        <v>4660</v>
      </c>
      <c r="DQ86" s="67" t="s">
        <v>440</v>
      </c>
      <c r="DR86" s="67"/>
      <c r="DS86" s="67"/>
      <c r="DT86" s="67"/>
      <c r="DU86" s="67" t="s">
        <v>1108</v>
      </c>
      <c r="DV86" s="67" t="s">
        <v>656</v>
      </c>
      <c r="DW86" s="67" t="s">
        <v>656</v>
      </c>
      <c r="DX86" s="67" t="s">
        <v>647</v>
      </c>
      <c r="DY86" s="67" t="s">
        <v>647</v>
      </c>
      <c r="DZ86" s="67" t="s">
        <v>663</v>
      </c>
      <c r="EA86" s="67" t="s">
        <v>388</v>
      </c>
      <c r="EB86" s="67" t="s">
        <v>663</v>
      </c>
      <c r="EC86" s="67" t="s">
        <v>468</v>
      </c>
      <c r="ED86" s="67" t="s">
        <v>5509</v>
      </c>
      <c r="EE86" s="67" t="s">
        <v>388</v>
      </c>
      <c r="EF86" s="67"/>
      <c r="EG86" s="67"/>
      <c r="EH86" s="67">
        <v>15</v>
      </c>
      <c r="EM86" t="s">
        <v>5526</v>
      </c>
      <c r="EN86" s="368" t="s">
        <v>663</v>
      </c>
    </row>
    <row r="87" spans="1:144" x14ac:dyDescent="0.2">
      <c r="A87" s="77" t="s">
        <v>4055</v>
      </c>
      <c r="B87" s="77" t="s">
        <v>4070</v>
      </c>
      <c r="C87" s="77">
        <v>2</v>
      </c>
      <c r="D87" s="77">
        <v>2</v>
      </c>
      <c r="E87" s="77"/>
      <c r="F87" s="77"/>
      <c r="G87" s="77"/>
      <c r="H87" s="77">
        <v>2</v>
      </c>
      <c r="I87" s="77">
        <v>2</v>
      </c>
      <c r="J87" s="77">
        <v>-2</v>
      </c>
      <c r="K87" s="77">
        <v>2</v>
      </c>
      <c r="L87" s="77">
        <v>-2</v>
      </c>
      <c r="M87" s="77"/>
      <c r="N87" s="77"/>
      <c r="O87" s="77"/>
      <c r="P87" s="77"/>
      <c r="Q87" s="77"/>
      <c r="R87" s="77">
        <v>1</v>
      </c>
      <c r="S87" s="77">
        <v>5</v>
      </c>
      <c r="T87" s="77">
        <v>1</v>
      </c>
      <c r="U87" s="77">
        <v>50</v>
      </c>
      <c r="V87" s="12">
        <f t="shared" si="5"/>
        <v>6</v>
      </c>
      <c r="W87" s="12"/>
      <c r="X87" s="77" t="str">
        <f>Taulukko1[[#This Row],[Main Race]]</f>
        <v>Human</v>
      </c>
      <c r="Z87" s="12" t="s">
        <v>4070</v>
      </c>
      <c r="AA87" s="12">
        <v>6543</v>
      </c>
      <c r="AB87" s="12">
        <v>6543</v>
      </c>
      <c r="AC87" s="12">
        <v>7654</v>
      </c>
      <c r="AD87" s="12">
        <v>6543</v>
      </c>
      <c r="AE87" s="12">
        <v>6543</v>
      </c>
      <c r="AF87" s="12">
        <v>6543</v>
      </c>
      <c r="AG87" s="12">
        <v>6543</v>
      </c>
      <c r="AH87" s="12">
        <v>6521</v>
      </c>
      <c r="AJ87" s="12"/>
      <c r="AK87" s="12" t="s">
        <v>487</v>
      </c>
      <c r="AL87" s="12" t="s">
        <v>524</v>
      </c>
      <c r="AM87" s="12" t="s">
        <v>656</v>
      </c>
      <c r="AN87" s="12" t="s">
        <v>662</v>
      </c>
      <c r="AO87" s="12" t="s">
        <v>662</v>
      </c>
      <c r="AP87" s="12" t="s">
        <v>647</v>
      </c>
      <c r="AQ87" s="12" t="s">
        <v>534</v>
      </c>
      <c r="AR87" s="12" t="s">
        <v>1104</v>
      </c>
      <c r="AS87" s="12" t="s">
        <v>1280</v>
      </c>
      <c r="AT87" s="12" t="s">
        <v>173</v>
      </c>
      <c r="AU87" s="12" t="s">
        <v>1119</v>
      </c>
      <c r="AV87" s="12" t="s">
        <v>508</v>
      </c>
      <c r="AW87" s="12" t="s">
        <v>534</v>
      </c>
      <c r="AX87" s="12" t="s">
        <v>1108</v>
      </c>
      <c r="AY87" s="12" t="s">
        <v>1108</v>
      </c>
      <c r="AZ87" s="12" t="s">
        <v>1119</v>
      </c>
      <c r="BA87" s="12" t="s">
        <v>656</v>
      </c>
      <c r="BB87" s="12" t="s">
        <v>656</v>
      </c>
      <c r="BC87" s="12" t="s">
        <v>1279</v>
      </c>
      <c r="BD87" s="12" t="s">
        <v>1281</v>
      </c>
      <c r="BE87" s="12" t="s">
        <v>1108</v>
      </c>
      <c r="BF87" s="12" t="s">
        <v>647</v>
      </c>
      <c r="BG87" s="12" t="s">
        <v>658</v>
      </c>
      <c r="BH87" s="12" t="s">
        <v>1279</v>
      </c>
      <c r="BI87" s="12" t="s">
        <v>656</v>
      </c>
      <c r="BJ87" s="12"/>
      <c r="BK87" s="12" t="s">
        <v>1262</v>
      </c>
      <c r="BL87" s="12"/>
      <c r="BM87" s="12" t="s">
        <v>529</v>
      </c>
      <c r="BN87" s="12" t="s">
        <v>1281</v>
      </c>
      <c r="BO87" s="12"/>
      <c r="BP87" s="12" t="s">
        <v>491</v>
      </c>
      <c r="BQ87" s="12" t="s">
        <v>647</v>
      </c>
      <c r="BR87" s="12" t="s">
        <v>656</v>
      </c>
      <c r="BS87" s="12" t="s">
        <v>631</v>
      </c>
      <c r="BT87" s="12" t="s">
        <v>647</v>
      </c>
      <c r="BU87" s="12" t="s">
        <v>446</v>
      </c>
      <c r="BV87" s="12" t="s">
        <v>450</v>
      </c>
      <c r="BW87" s="67" t="s">
        <v>524</v>
      </c>
      <c r="BX87" s="67" t="s">
        <v>524</v>
      </c>
      <c r="BY87" s="67" t="s">
        <v>1279</v>
      </c>
      <c r="BZ87" s="67" t="s">
        <v>647</v>
      </c>
      <c r="CA87" s="67" t="s">
        <v>647</v>
      </c>
      <c r="CB87" s="67" t="s">
        <v>631</v>
      </c>
      <c r="CC87" s="67" t="s">
        <v>647</v>
      </c>
      <c r="CD87" s="67" t="s">
        <v>418</v>
      </c>
      <c r="CE87" s="67" t="s">
        <v>1262</v>
      </c>
      <c r="CF87" s="67" t="s">
        <v>1262</v>
      </c>
      <c r="CG87" s="67" t="s">
        <v>647</v>
      </c>
      <c r="CH87" s="67" t="s">
        <v>647</v>
      </c>
      <c r="CI87" s="67" t="s">
        <v>647</v>
      </c>
      <c r="CJ87" s="67" t="s">
        <v>662</v>
      </c>
      <c r="CK87" s="67" t="s">
        <v>1117</v>
      </c>
      <c r="CL87" s="67" t="s">
        <v>173</v>
      </c>
      <c r="CM87" s="67" t="s">
        <v>508</v>
      </c>
      <c r="CN87" s="67" t="s">
        <v>1280</v>
      </c>
      <c r="CO87" s="67" t="s">
        <v>1104</v>
      </c>
      <c r="CP87" s="67" t="s">
        <v>1281</v>
      </c>
      <c r="CQ87" s="67" t="s">
        <v>541</v>
      </c>
      <c r="CR87" s="67" t="s">
        <v>446</v>
      </c>
      <c r="CS87" s="67" t="s">
        <v>1108</v>
      </c>
      <c r="CT87" s="67" t="s">
        <v>1108</v>
      </c>
      <c r="CU87" s="67" t="s">
        <v>512</v>
      </c>
      <c r="CV87" s="67" t="s">
        <v>1108</v>
      </c>
      <c r="CW87" s="67" t="s">
        <v>656</v>
      </c>
      <c r="CX87" s="67" t="s">
        <v>1104</v>
      </c>
      <c r="CY87" s="67" t="s">
        <v>1108</v>
      </c>
      <c r="CZ87" s="67" t="s">
        <v>1282</v>
      </c>
      <c r="DA87" s="67" t="s">
        <v>1282</v>
      </c>
      <c r="DB87" s="67" t="s">
        <v>656</v>
      </c>
      <c r="DC87" s="67" t="s">
        <v>656</v>
      </c>
      <c r="DD87" s="67" t="s">
        <v>656</v>
      </c>
      <c r="DE87" s="67" t="s">
        <v>1154</v>
      </c>
      <c r="DF87" s="67" t="s">
        <v>1283</v>
      </c>
      <c r="DG87" s="67" t="s">
        <v>1284</v>
      </c>
      <c r="DH87" s="67" t="s">
        <v>1285</v>
      </c>
      <c r="DI87" s="67" t="s">
        <v>511</v>
      </c>
      <c r="DJ87" s="67" t="s">
        <v>524</v>
      </c>
      <c r="DK87" s="67" t="s">
        <v>4660</v>
      </c>
      <c r="DL87" s="67" t="s">
        <v>524</v>
      </c>
      <c r="DM87" s="67" t="s">
        <v>4660</v>
      </c>
      <c r="DN87" s="67" t="s">
        <v>4660</v>
      </c>
      <c r="DO87" s="67" t="s">
        <v>4660</v>
      </c>
      <c r="DP87" s="67" t="s">
        <v>524</v>
      </c>
      <c r="DQ87" s="67" t="s">
        <v>4660</v>
      </c>
      <c r="DR87" s="67"/>
      <c r="DS87" s="67"/>
      <c r="DT87" s="67"/>
      <c r="DU87" s="67" t="s">
        <v>468</v>
      </c>
      <c r="DV87" s="67" t="s">
        <v>1286</v>
      </c>
      <c r="DW87" s="67" t="s">
        <v>446</v>
      </c>
      <c r="DX87" s="67" t="s">
        <v>662</v>
      </c>
      <c r="DY87" s="67" t="s">
        <v>511</v>
      </c>
      <c r="DZ87" s="67" t="s">
        <v>656</v>
      </c>
      <c r="EA87" s="67" t="s">
        <v>658</v>
      </c>
      <c r="EB87" s="67" t="s">
        <v>656</v>
      </c>
      <c r="EC87" s="67" t="s">
        <v>505</v>
      </c>
      <c r="ED87" s="67" t="s">
        <v>388</v>
      </c>
      <c r="EE87" s="67" t="s">
        <v>658</v>
      </c>
      <c r="EF87" s="67"/>
      <c r="EG87" s="67"/>
      <c r="EH87" s="67">
        <v>16</v>
      </c>
      <c r="EM87" t="s">
        <v>5526</v>
      </c>
      <c r="EN87" s="369" t="s">
        <v>656</v>
      </c>
    </row>
    <row r="88" spans="1:144" x14ac:dyDescent="0.2">
      <c r="A88" s="77" t="s">
        <v>4055</v>
      </c>
      <c r="B88" s="77" t="s">
        <v>4243</v>
      </c>
      <c r="C88" s="77">
        <v>4</v>
      </c>
      <c r="D88" s="77">
        <v>-2</v>
      </c>
      <c r="E88" s="77">
        <v>4</v>
      </c>
      <c r="F88" s="77"/>
      <c r="G88" s="77"/>
      <c r="H88" s="77">
        <v>4</v>
      </c>
      <c r="I88" s="77">
        <v>-2</v>
      </c>
      <c r="J88" s="77">
        <v>-2</v>
      </c>
      <c r="K88" s="77"/>
      <c r="L88" s="77">
        <v>4</v>
      </c>
      <c r="M88" s="77">
        <v>20</v>
      </c>
      <c r="N88" s="77"/>
      <c r="O88" s="77"/>
      <c r="P88" s="77"/>
      <c r="Q88" s="77"/>
      <c r="R88" s="77">
        <v>1</v>
      </c>
      <c r="S88" s="77">
        <v>5</v>
      </c>
      <c r="T88" s="77">
        <v>1</v>
      </c>
      <c r="U88" s="77">
        <v>40</v>
      </c>
      <c r="V88" s="12">
        <f t="shared" si="5"/>
        <v>10</v>
      </c>
      <c r="W88" s="12"/>
      <c r="X88" s="77" t="str">
        <f>Taulukko1[[#This Row],[Main Race]]</f>
        <v>Human</v>
      </c>
      <c r="Z88" s="12" t="s">
        <v>4243</v>
      </c>
      <c r="AA88" s="12">
        <v>6543</v>
      </c>
      <c r="AB88" s="12">
        <v>6543</v>
      </c>
      <c r="AC88" s="12">
        <v>7654</v>
      </c>
      <c r="AD88" s="12">
        <v>6543</v>
      </c>
      <c r="AE88" s="12">
        <v>6543</v>
      </c>
      <c r="AF88" s="12">
        <v>6543</v>
      </c>
      <c r="AG88" s="12">
        <v>6543</v>
      </c>
      <c r="AH88" s="12">
        <v>6521</v>
      </c>
      <c r="AJ88" s="12"/>
      <c r="AK88" s="12" t="s">
        <v>683</v>
      </c>
      <c r="AL88" s="12" t="s">
        <v>662</v>
      </c>
      <c r="AM88" s="12" t="s">
        <v>531</v>
      </c>
      <c r="AN88" s="12" t="s">
        <v>1289</v>
      </c>
      <c r="AO88" s="12" t="s">
        <v>1289</v>
      </c>
      <c r="AP88" s="12" t="s">
        <v>662</v>
      </c>
      <c r="AQ88" s="12" t="s">
        <v>1317</v>
      </c>
      <c r="AR88" s="12" t="s">
        <v>656</v>
      </c>
      <c r="AS88" s="12" t="s">
        <v>468</v>
      </c>
      <c r="AT88" s="12" t="s">
        <v>532</v>
      </c>
      <c r="AU88" s="12" t="s">
        <v>541</v>
      </c>
      <c r="AV88" s="12" t="s">
        <v>524</v>
      </c>
      <c r="AW88" s="12" t="s">
        <v>1310</v>
      </c>
      <c r="AX88" s="12" t="s">
        <v>4114</v>
      </c>
      <c r="AY88" s="12" t="s">
        <v>4114</v>
      </c>
      <c r="AZ88" s="12" t="s">
        <v>517</v>
      </c>
      <c r="BA88" s="12" t="s">
        <v>512</v>
      </c>
      <c r="BB88" s="12" t="s">
        <v>512</v>
      </c>
      <c r="BC88" s="12" t="s">
        <v>433</v>
      </c>
      <c r="BD88" s="12" t="s">
        <v>662</v>
      </c>
      <c r="BE88" s="12" t="s">
        <v>468</v>
      </c>
      <c r="BF88" s="12" t="s">
        <v>1288</v>
      </c>
      <c r="BG88" s="12" t="s">
        <v>1279</v>
      </c>
      <c r="BH88" s="12" t="s">
        <v>433</v>
      </c>
      <c r="BI88" s="12" t="s">
        <v>4150</v>
      </c>
      <c r="BJ88" s="12"/>
      <c r="BK88" s="12" t="s">
        <v>418</v>
      </c>
      <c r="BL88" s="12"/>
      <c r="BM88" s="12" t="s">
        <v>647</v>
      </c>
      <c r="BN88" s="12" t="s">
        <v>662</v>
      </c>
      <c r="BO88" s="12" t="s">
        <v>662</v>
      </c>
      <c r="BP88" s="12" t="s">
        <v>1338</v>
      </c>
      <c r="BQ88" s="12" t="s">
        <v>1288</v>
      </c>
      <c r="BR88" s="12" t="s">
        <v>658</v>
      </c>
      <c r="BS88" s="12" t="s">
        <v>468</v>
      </c>
      <c r="BT88" s="12" t="s">
        <v>1288</v>
      </c>
      <c r="BU88" s="12" t="s">
        <v>418</v>
      </c>
      <c r="BV88" s="12" t="s">
        <v>431</v>
      </c>
      <c r="BW88" s="67" t="s">
        <v>1104</v>
      </c>
      <c r="BX88" s="67" t="s">
        <v>1104</v>
      </c>
      <c r="BY88" s="67" t="s">
        <v>433</v>
      </c>
      <c r="BZ88" s="67" t="s">
        <v>1288</v>
      </c>
      <c r="CA88" s="67" t="s">
        <v>1288</v>
      </c>
      <c r="CB88" s="67" t="s">
        <v>1115</v>
      </c>
      <c r="CC88" s="67" t="s">
        <v>1288</v>
      </c>
      <c r="CD88" s="67" t="s">
        <v>532</v>
      </c>
      <c r="CE88" s="67" t="s">
        <v>418</v>
      </c>
      <c r="CF88" s="67" t="s">
        <v>418</v>
      </c>
      <c r="CG88" s="67" t="s">
        <v>1288</v>
      </c>
      <c r="CH88" s="67" t="s">
        <v>1288</v>
      </c>
      <c r="CI88" s="67" t="s">
        <v>1288</v>
      </c>
      <c r="CJ88" s="67" t="s">
        <v>1289</v>
      </c>
      <c r="CK88" s="67" t="s">
        <v>5487</v>
      </c>
      <c r="CL88" s="67" t="s">
        <v>532</v>
      </c>
      <c r="CM88" s="67" t="s">
        <v>524</v>
      </c>
      <c r="CN88" s="67" t="s">
        <v>468</v>
      </c>
      <c r="CO88" s="67" t="s">
        <v>656</v>
      </c>
      <c r="CP88" s="67" t="s">
        <v>662</v>
      </c>
      <c r="CQ88" s="67" t="s">
        <v>662</v>
      </c>
      <c r="CR88" s="67" t="s">
        <v>173</v>
      </c>
      <c r="CS88" s="67" t="s">
        <v>468</v>
      </c>
      <c r="CT88" s="67" t="s">
        <v>468</v>
      </c>
      <c r="CU88" s="67" t="s">
        <v>1108</v>
      </c>
      <c r="CV88" s="67" t="s">
        <v>468</v>
      </c>
      <c r="CW88" s="67" t="s">
        <v>512</v>
      </c>
      <c r="CX88" s="67" t="s">
        <v>656</v>
      </c>
      <c r="CY88" s="67" t="s">
        <v>468</v>
      </c>
      <c r="CZ88" s="67" t="s">
        <v>1154</v>
      </c>
      <c r="DA88" s="67" t="s">
        <v>1154</v>
      </c>
      <c r="DB88" s="67" t="s">
        <v>512</v>
      </c>
      <c r="DC88" s="67" t="s">
        <v>512</v>
      </c>
      <c r="DD88" s="67" t="s">
        <v>512</v>
      </c>
      <c r="DE88" s="67" t="s">
        <v>1193</v>
      </c>
      <c r="DF88" s="67" t="s">
        <v>662</v>
      </c>
      <c r="DG88" s="67" t="s">
        <v>662</v>
      </c>
      <c r="DH88" s="67" t="s">
        <v>1290</v>
      </c>
      <c r="DI88" s="67" t="s">
        <v>1104</v>
      </c>
      <c r="DJ88" s="67" t="s">
        <v>541</v>
      </c>
      <c r="DK88" s="67" t="s">
        <v>524</v>
      </c>
      <c r="DL88" s="67" t="s">
        <v>541</v>
      </c>
      <c r="DM88" s="67" t="s">
        <v>524</v>
      </c>
      <c r="DN88" s="67" t="s">
        <v>524</v>
      </c>
      <c r="DO88" s="67" t="s">
        <v>524</v>
      </c>
      <c r="DP88" s="67" t="s">
        <v>541</v>
      </c>
      <c r="DQ88" s="67" t="s">
        <v>524</v>
      </c>
      <c r="DR88" s="67"/>
      <c r="DS88" s="67"/>
      <c r="DT88" s="67"/>
      <c r="DU88" s="67" t="s">
        <v>534</v>
      </c>
      <c r="DV88" s="67" t="s">
        <v>532</v>
      </c>
      <c r="DW88" s="67" t="s">
        <v>418</v>
      </c>
      <c r="DX88" s="67" t="s">
        <v>511</v>
      </c>
      <c r="DY88" s="67" t="s">
        <v>663</v>
      </c>
      <c r="DZ88" s="67" t="s">
        <v>5511</v>
      </c>
      <c r="EA88" s="67" t="s">
        <v>5512</v>
      </c>
      <c r="EB88" s="67" t="s">
        <v>531</v>
      </c>
      <c r="EC88" s="67" t="s">
        <v>658</v>
      </c>
      <c r="ED88" s="67" t="s">
        <v>658</v>
      </c>
      <c r="EE88" s="67" t="s">
        <v>5512</v>
      </c>
      <c r="EF88" s="67"/>
      <c r="EG88" s="67"/>
      <c r="EH88" s="67">
        <v>17</v>
      </c>
      <c r="EM88" t="s">
        <v>5526</v>
      </c>
      <c r="EN88" s="368" t="s">
        <v>418</v>
      </c>
    </row>
    <row r="89" spans="1:144" x14ac:dyDescent="0.2">
      <c r="A89" s="77" t="s">
        <v>917</v>
      </c>
      <c r="B89" s="77" t="s">
        <v>927</v>
      </c>
      <c r="C89" s="77">
        <v>4</v>
      </c>
      <c r="D89" s="77"/>
      <c r="E89" s="77"/>
      <c r="F89" s="77"/>
      <c r="G89" s="77"/>
      <c r="H89" s="77">
        <v>4</v>
      </c>
      <c r="I89" s="77"/>
      <c r="J89" s="77">
        <v>2</v>
      </c>
      <c r="K89" s="77"/>
      <c r="L89" s="77"/>
      <c r="M89" s="77"/>
      <c r="N89" s="77"/>
      <c r="O89" s="77"/>
      <c r="P89" s="77">
        <v>5</v>
      </c>
      <c r="Q89" s="77">
        <v>15</v>
      </c>
      <c r="R89" s="77">
        <v>10</v>
      </c>
      <c r="S89" s="77">
        <v>4</v>
      </c>
      <c r="T89" s="77">
        <v>0.75</v>
      </c>
      <c r="U89" s="77">
        <f>S89*10</f>
        <v>40</v>
      </c>
      <c r="V89" s="12">
        <f t="shared" si="5"/>
        <v>10</v>
      </c>
      <c r="W89" s="12"/>
      <c r="X89" s="77" t="str">
        <f>Taulukko1[[#This Row],[Main Race]]</f>
        <v>High Man</v>
      </c>
      <c r="Z89" s="12" t="s">
        <v>927</v>
      </c>
      <c r="AA89" s="12">
        <v>6543</v>
      </c>
      <c r="AB89" s="12">
        <v>6543</v>
      </c>
      <c r="AC89" s="12">
        <v>7654</v>
      </c>
      <c r="AD89" s="12">
        <v>6453</v>
      </c>
      <c r="AE89" s="12">
        <v>6543</v>
      </c>
      <c r="AF89" s="12">
        <v>6543</v>
      </c>
      <c r="AG89" s="12">
        <v>6543</v>
      </c>
      <c r="AH89" s="12">
        <v>7531</v>
      </c>
      <c r="AJ89" s="12"/>
      <c r="AK89" s="12" t="s">
        <v>4098</v>
      </c>
      <c r="AL89" s="12" t="s">
        <v>656</v>
      </c>
      <c r="AM89" s="12" t="s">
        <v>173</v>
      </c>
      <c r="AN89" s="12" t="s">
        <v>1117</v>
      </c>
      <c r="AO89" s="12" t="s">
        <v>1117</v>
      </c>
      <c r="AP89" s="12" t="s">
        <v>1289</v>
      </c>
      <c r="AQ89" s="12" t="s">
        <v>442</v>
      </c>
      <c r="AR89" s="12" t="s">
        <v>1262</v>
      </c>
      <c r="AS89" s="12" t="s">
        <v>1109</v>
      </c>
      <c r="AT89" s="12" t="s">
        <v>631</v>
      </c>
      <c r="AU89" s="12" t="s">
        <v>662</v>
      </c>
      <c r="AV89" s="12" t="s">
        <v>541</v>
      </c>
      <c r="AW89" s="12" t="s">
        <v>1124</v>
      </c>
      <c r="AX89" s="12" t="s">
        <v>1310</v>
      </c>
      <c r="AY89" s="12" t="s">
        <v>652</v>
      </c>
      <c r="AZ89" s="12" t="s">
        <v>472</v>
      </c>
      <c r="BA89" s="12" t="s">
        <v>468</v>
      </c>
      <c r="BB89" s="12" t="s">
        <v>468</v>
      </c>
      <c r="BC89" s="12" t="s">
        <v>472</v>
      </c>
      <c r="BD89" s="12" t="s">
        <v>511</v>
      </c>
      <c r="BE89" s="12" t="s">
        <v>517</v>
      </c>
      <c r="BF89" s="12" t="s">
        <v>662</v>
      </c>
      <c r="BG89" s="12" t="s">
        <v>433</v>
      </c>
      <c r="BH89" s="12" t="s">
        <v>472</v>
      </c>
      <c r="BI89" s="12" t="s">
        <v>418</v>
      </c>
      <c r="BJ89" s="12"/>
      <c r="BK89" s="12" t="s">
        <v>532</v>
      </c>
      <c r="BL89" s="12"/>
      <c r="BM89" s="12" t="s">
        <v>1288</v>
      </c>
      <c r="BN89" s="12" t="s">
        <v>511</v>
      </c>
      <c r="BO89" s="12" t="s">
        <v>511</v>
      </c>
      <c r="BP89" s="12" t="s">
        <v>658</v>
      </c>
      <c r="BQ89" s="12" t="s">
        <v>662</v>
      </c>
      <c r="BR89" s="12" t="s">
        <v>4166</v>
      </c>
      <c r="BS89" s="12" t="s">
        <v>547</v>
      </c>
      <c r="BT89" s="12" t="s">
        <v>662</v>
      </c>
      <c r="BU89" s="12" t="s">
        <v>1108</v>
      </c>
      <c r="BV89" s="12" t="s">
        <v>658</v>
      </c>
      <c r="BW89" s="67" t="s">
        <v>656</v>
      </c>
      <c r="BX89" s="67" t="s">
        <v>656</v>
      </c>
      <c r="BY89" s="67" t="s">
        <v>472</v>
      </c>
      <c r="BZ89" s="67" t="s">
        <v>662</v>
      </c>
      <c r="CA89" s="67" t="s">
        <v>662</v>
      </c>
      <c r="CB89" s="67" t="s">
        <v>1292</v>
      </c>
      <c r="CC89" s="67" t="s">
        <v>662</v>
      </c>
      <c r="CD89" s="67" t="s">
        <v>1115</v>
      </c>
      <c r="CE89" s="67" t="s">
        <v>532</v>
      </c>
      <c r="CF89" s="67" t="s">
        <v>532</v>
      </c>
      <c r="CG89" s="67" t="s">
        <v>662</v>
      </c>
      <c r="CH89" s="67" t="s">
        <v>662</v>
      </c>
      <c r="CI89" s="67" t="s">
        <v>662</v>
      </c>
      <c r="CJ89" s="67" t="s">
        <v>1117</v>
      </c>
      <c r="CK89" s="67" t="s">
        <v>5484</v>
      </c>
      <c r="CL89" s="67" t="s">
        <v>631</v>
      </c>
      <c r="CM89" s="67" t="s">
        <v>541</v>
      </c>
      <c r="CN89" s="67" t="s">
        <v>1109</v>
      </c>
      <c r="CO89" s="67" t="s">
        <v>1262</v>
      </c>
      <c r="CP89" s="67" t="s">
        <v>511</v>
      </c>
      <c r="CQ89" s="67" t="s">
        <v>511</v>
      </c>
      <c r="CR89" s="67" t="s">
        <v>1108</v>
      </c>
      <c r="CS89" s="67" t="s">
        <v>4662</v>
      </c>
      <c r="CT89" s="67" t="s">
        <v>4662</v>
      </c>
      <c r="CU89" s="67" t="s">
        <v>468</v>
      </c>
      <c r="CV89" s="67" t="s">
        <v>4662</v>
      </c>
      <c r="CW89" s="67" t="s">
        <v>1108</v>
      </c>
      <c r="CX89" s="67" t="s">
        <v>1108</v>
      </c>
      <c r="CY89" s="67" t="s">
        <v>4662</v>
      </c>
      <c r="CZ89" s="67" t="s">
        <v>683</v>
      </c>
      <c r="DA89" s="67" t="s">
        <v>683</v>
      </c>
      <c r="DB89" s="67" t="s">
        <v>468</v>
      </c>
      <c r="DC89" s="67" t="s">
        <v>468</v>
      </c>
      <c r="DD89" s="67" t="s">
        <v>468</v>
      </c>
      <c r="DE89" s="67" t="s">
        <v>429</v>
      </c>
      <c r="DF89" s="67" t="s">
        <v>1104</v>
      </c>
      <c r="DG89" s="67" t="s">
        <v>1104</v>
      </c>
      <c r="DH89" s="67" t="s">
        <v>1293</v>
      </c>
      <c r="DI89" s="67" t="s">
        <v>663</v>
      </c>
      <c r="DJ89" s="67" t="s">
        <v>511</v>
      </c>
      <c r="DK89" s="67" t="s">
        <v>541</v>
      </c>
      <c r="DL89" s="67" t="s">
        <v>511</v>
      </c>
      <c r="DM89" s="67" t="s">
        <v>541</v>
      </c>
      <c r="DN89" s="67" t="s">
        <v>541</v>
      </c>
      <c r="DO89" s="67" t="s">
        <v>541</v>
      </c>
      <c r="DP89" s="67" t="s">
        <v>511</v>
      </c>
      <c r="DQ89" s="67" t="s">
        <v>541</v>
      </c>
      <c r="DR89" s="67"/>
      <c r="DS89" s="67"/>
      <c r="DT89" s="67"/>
      <c r="DU89" s="67" t="s">
        <v>602</v>
      </c>
      <c r="DV89" s="67" t="s">
        <v>631</v>
      </c>
      <c r="DW89" s="67" t="s">
        <v>1108</v>
      </c>
      <c r="DX89" s="67" t="s">
        <v>663</v>
      </c>
      <c r="DY89" s="67" t="s">
        <v>656</v>
      </c>
      <c r="DZ89" s="67" t="s">
        <v>5509</v>
      </c>
      <c r="EA89" s="67" t="s">
        <v>5508</v>
      </c>
      <c r="EB89" s="67" t="s">
        <v>532</v>
      </c>
      <c r="EC89" s="67" t="s">
        <v>1321</v>
      </c>
      <c r="ED89" s="67" t="s">
        <v>5512</v>
      </c>
      <c r="EE89" s="67" t="s">
        <v>5508</v>
      </c>
      <c r="EF89" s="67"/>
      <c r="EG89" s="67"/>
      <c r="EH89" s="67">
        <v>18</v>
      </c>
      <c r="EM89" t="s">
        <v>5526</v>
      </c>
      <c r="EN89" s="369" t="s">
        <v>173</v>
      </c>
    </row>
    <row r="90" spans="1:144" x14ac:dyDescent="0.2">
      <c r="A90" s="77" t="s">
        <v>892</v>
      </c>
      <c r="B90" s="77" t="s">
        <v>892</v>
      </c>
      <c r="C90" s="77">
        <v>2</v>
      </c>
      <c r="D90" s="77"/>
      <c r="E90" s="77">
        <v>2</v>
      </c>
      <c r="F90" s="77"/>
      <c r="G90" s="77"/>
      <c r="H90" s="77">
        <v>2</v>
      </c>
      <c r="I90" s="77"/>
      <c r="J90" s="77">
        <v>-2</v>
      </c>
      <c r="K90" s="77">
        <v>2</v>
      </c>
      <c r="L90" s="77">
        <v>-2</v>
      </c>
      <c r="M90" s="77">
        <v>20</v>
      </c>
      <c r="N90" s="77"/>
      <c r="O90" s="77">
        <v>20</v>
      </c>
      <c r="P90" s="77">
        <v>5</v>
      </c>
      <c r="Q90" s="77">
        <v>5</v>
      </c>
      <c r="R90" s="77">
        <v>16</v>
      </c>
      <c r="S90" s="77">
        <v>5</v>
      </c>
      <c r="T90" s="77">
        <v>0.75</v>
      </c>
      <c r="U90" s="77">
        <f>S90*10</f>
        <v>50</v>
      </c>
      <c r="V90" s="12">
        <f t="shared" si="5"/>
        <v>4</v>
      </c>
      <c r="W90" s="12"/>
      <c r="X90" s="77" t="str">
        <f>Taulukko1[[#This Row],[Main Race]]</f>
        <v>Umli</v>
      </c>
      <c r="Z90" s="12" t="s">
        <v>892</v>
      </c>
      <c r="AA90" s="12">
        <v>6543</v>
      </c>
      <c r="AB90" s="12">
        <v>6543</v>
      </c>
      <c r="AC90" s="12">
        <v>7654</v>
      </c>
      <c r="AD90" s="12">
        <v>6453</v>
      </c>
      <c r="AE90" s="12">
        <v>6543</v>
      </c>
      <c r="AF90" s="12">
        <v>6543</v>
      </c>
      <c r="AG90" s="12">
        <v>6543</v>
      </c>
      <c r="AH90" s="12">
        <v>7421</v>
      </c>
      <c r="AJ90" s="12"/>
      <c r="AK90" s="12" t="s">
        <v>4099</v>
      </c>
      <c r="AL90" s="12" t="s">
        <v>173</v>
      </c>
      <c r="AM90" s="12" t="s">
        <v>3957</v>
      </c>
      <c r="AN90" s="12" t="s">
        <v>1108</v>
      </c>
      <c r="AO90" s="12" t="s">
        <v>1108</v>
      </c>
      <c r="AP90" s="12" t="s">
        <v>1117</v>
      </c>
      <c r="AQ90" s="12" t="s">
        <v>4199</v>
      </c>
      <c r="AR90" s="12" t="s">
        <v>532</v>
      </c>
      <c r="AS90" s="12" t="s">
        <v>401</v>
      </c>
      <c r="AT90" s="12" t="s">
        <v>1296</v>
      </c>
      <c r="AU90" s="12" t="s">
        <v>511</v>
      </c>
      <c r="AV90" s="12" t="s">
        <v>662</v>
      </c>
      <c r="AW90" s="12" t="s">
        <v>1321</v>
      </c>
      <c r="AX90" s="12" t="s">
        <v>1112</v>
      </c>
      <c r="AY90" s="12" t="s">
        <v>534</v>
      </c>
      <c r="AZ90" s="12" t="s">
        <v>1104</v>
      </c>
      <c r="BA90" s="12" t="s">
        <v>652</v>
      </c>
      <c r="BB90" s="12" t="s">
        <v>652</v>
      </c>
      <c r="BC90" s="12" t="s">
        <v>1156</v>
      </c>
      <c r="BD90" s="12" t="s">
        <v>1104</v>
      </c>
      <c r="BE90" s="12" t="s">
        <v>430</v>
      </c>
      <c r="BF90" s="12" t="s">
        <v>511</v>
      </c>
      <c r="BG90" s="12" t="s">
        <v>472</v>
      </c>
      <c r="BH90" s="12" t="s">
        <v>1156</v>
      </c>
      <c r="BI90" s="12" t="s">
        <v>1108</v>
      </c>
      <c r="BJ90" s="12"/>
      <c r="BK90" s="12" t="s">
        <v>1115</v>
      </c>
      <c r="BL90" s="12"/>
      <c r="BM90" s="12" t="s">
        <v>662</v>
      </c>
      <c r="BN90" s="12" t="s">
        <v>1104</v>
      </c>
      <c r="BO90" s="12" t="s">
        <v>173</v>
      </c>
      <c r="BP90" s="12" t="s">
        <v>1357</v>
      </c>
      <c r="BQ90" s="12" t="s">
        <v>511</v>
      </c>
      <c r="BR90" s="12" t="s">
        <v>468</v>
      </c>
      <c r="BS90" s="12" t="s">
        <v>414</v>
      </c>
      <c r="BT90" s="12" t="s">
        <v>511</v>
      </c>
      <c r="BU90" s="12" t="s">
        <v>1115</v>
      </c>
      <c r="BV90" s="12" t="s">
        <v>472</v>
      </c>
      <c r="BW90" s="67" t="s">
        <v>1295</v>
      </c>
      <c r="BX90" s="67" t="s">
        <v>1295</v>
      </c>
      <c r="BY90" s="67" t="s">
        <v>1156</v>
      </c>
      <c r="BZ90" s="67" t="s">
        <v>511</v>
      </c>
      <c r="CA90" s="67" t="s">
        <v>511</v>
      </c>
      <c r="CB90" s="67" t="s">
        <v>468</v>
      </c>
      <c r="CC90" s="67" t="s">
        <v>511</v>
      </c>
      <c r="CD90" s="67" t="s">
        <v>1280</v>
      </c>
      <c r="CE90" s="67" t="s">
        <v>1115</v>
      </c>
      <c r="CF90" s="67" t="s">
        <v>1115</v>
      </c>
      <c r="CG90" s="67" t="s">
        <v>511</v>
      </c>
      <c r="CH90" s="67" t="s">
        <v>511</v>
      </c>
      <c r="CI90" s="67" t="s">
        <v>511</v>
      </c>
      <c r="CJ90" s="67" t="s">
        <v>1108</v>
      </c>
      <c r="CK90" s="67" t="s">
        <v>5480</v>
      </c>
      <c r="CL90" s="67" t="s">
        <v>1296</v>
      </c>
      <c r="CM90" s="67" t="s">
        <v>662</v>
      </c>
      <c r="CN90" s="67" t="s">
        <v>401</v>
      </c>
      <c r="CO90" s="67" t="s">
        <v>532</v>
      </c>
      <c r="CP90" s="67" t="s">
        <v>1104</v>
      </c>
      <c r="CQ90" s="67" t="s">
        <v>1104</v>
      </c>
      <c r="CR90" s="67" t="s">
        <v>1115</v>
      </c>
      <c r="CS90" s="67" t="s">
        <v>517</v>
      </c>
      <c r="CT90" s="67" t="s">
        <v>517</v>
      </c>
      <c r="CU90" s="67" t="s">
        <v>4662</v>
      </c>
      <c r="CV90" s="67" t="s">
        <v>517</v>
      </c>
      <c r="CW90" s="67" t="s">
        <v>468</v>
      </c>
      <c r="CX90" s="67" t="s">
        <v>468</v>
      </c>
      <c r="CY90" s="67" t="s">
        <v>517</v>
      </c>
      <c r="CZ90" s="67" t="s">
        <v>1104</v>
      </c>
      <c r="DA90" s="67" t="s">
        <v>1104</v>
      </c>
      <c r="DB90" s="67" t="s">
        <v>652</v>
      </c>
      <c r="DC90" s="67" t="s">
        <v>652</v>
      </c>
      <c r="DD90" s="67" t="s">
        <v>652</v>
      </c>
      <c r="DE90" s="67" t="s">
        <v>662</v>
      </c>
      <c r="DF90" s="67" t="s">
        <v>521</v>
      </c>
      <c r="DG90" s="67" t="s">
        <v>521</v>
      </c>
      <c r="DH90" s="67" t="s">
        <v>1108</v>
      </c>
      <c r="DI90" s="67" t="s">
        <v>656</v>
      </c>
      <c r="DJ90" s="67" t="s">
        <v>1104</v>
      </c>
      <c r="DK90" s="67" t="s">
        <v>511</v>
      </c>
      <c r="DL90" s="67" t="s">
        <v>1104</v>
      </c>
      <c r="DM90" s="67" t="s">
        <v>511</v>
      </c>
      <c r="DN90" s="67" t="s">
        <v>511</v>
      </c>
      <c r="DO90" s="67" t="s">
        <v>511</v>
      </c>
      <c r="DP90" s="67" t="s">
        <v>1104</v>
      </c>
      <c r="DQ90" s="67" t="s">
        <v>511</v>
      </c>
      <c r="DR90" s="67"/>
      <c r="DS90" s="67"/>
      <c r="DT90" s="67"/>
      <c r="DU90" s="67" t="s">
        <v>517</v>
      </c>
      <c r="DV90" s="67" t="s">
        <v>468</v>
      </c>
      <c r="DW90" s="67" t="s">
        <v>1115</v>
      </c>
      <c r="DX90" s="67" t="s">
        <v>656</v>
      </c>
      <c r="DY90" s="67" t="s">
        <v>418</v>
      </c>
      <c r="DZ90" s="67" t="s">
        <v>5502</v>
      </c>
      <c r="EA90" s="67" t="s">
        <v>472</v>
      </c>
      <c r="EB90" s="67" t="s">
        <v>1108</v>
      </c>
      <c r="EC90" s="67" t="s">
        <v>1354</v>
      </c>
      <c r="ED90" s="67" t="s">
        <v>5508</v>
      </c>
      <c r="EE90" s="67" t="s">
        <v>472</v>
      </c>
      <c r="EF90" s="67"/>
      <c r="EG90" s="67"/>
      <c r="EH90" s="67">
        <v>19</v>
      </c>
      <c r="EM90" t="s">
        <v>5526</v>
      </c>
      <c r="EN90" s="369" t="s">
        <v>532</v>
      </c>
    </row>
    <row r="91" spans="1:144" x14ac:dyDescent="0.2">
      <c r="A91" s="77" t="s">
        <v>1005</v>
      </c>
      <c r="B91" s="77" t="s">
        <v>922</v>
      </c>
      <c r="C91" s="77"/>
      <c r="D91" s="77"/>
      <c r="E91" s="77">
        <v>2</v>
      </c>
      <c r="F91" s="77"/>
      <c r="G91" s="77"/>
      <c r="H91" s="77">
        <v>2</v>
      </c>
      <c r="I91" s="77"/>
      <c r="J91" s="77"/>
      <c r="K91" s="77"/>
      <c r="L91" s="77"/>
      <c r="M91" s="77"/>
      <c r="N91" s="77"/>
      <c r="O91" s="77"/>
      <c r="P91" s="77"/>
      <c r="Q91" s="77"/>
      <c r="R91" s="77">
        <v>12</v>
      </c>
      <c r="S91" s="77">
        <v>6</v>
      </c>
      <c r="T91" s="77">
        <v>1</v>
      </c>
      <c r="U91" s="77">
        <v>55</v>
      </c>
      <c r="V91" s="12">
        <f t="shared" si="5"/>
        <v>4</v>
      </c>
      <c r="W91" s="12"/>
      <c r="X91" s="77" t="str">
        <f>Taulukko1[[#This Row],[Main Race]]</f>
        <v>Common Men</v>
      </c>
      <c r="Z91" s="12" t="s">
        <v>922</v>
      </c>
      <c r="AA91" s="12">
        <v>6543</v>
      </c>
      <c r="AB91" s="12">
        <v>6543</v>
      </c>
      <c r="AC91" s="12">
        <v>7654</v>
      </c>
      <c r="AD91" s="12">
        <v>6543</v>
      </c>
      <c r="AE91" s="12">
        <v>6543</v>
      </c>
      <c r="AF91" s="12">
        <v>6543</v>
      </c>
      <c r="AG91" s="12">
        <v>6543</v>
      </c>
      <c r="AH91" s="12">
        <v>6421</v>
      </c>
      <c r="AJ91" s="12"/>
      <c r="AK91" s="12" t="s">
        <v>4100</v>
      </c>
      <c r="AL91" s="12" t="s">
        <v>3957</v>
      </c>
      <c r="AM91" s="12" t="s">
        <v>535</v>
      </c>
      <c r="AN91" s="12" t="s">
        <v>1115</v>
      </c>
      <c r="AO91" s="12" t="s">
        <v>1115</v>
      </c>
      <c r="AP91" s="12" t="s">
        <v>1108</v>
      </c>
      <c r="AQ91" s="12"/>
      <c r="AR91" s="12" t="s">
        <v>631</v>
      </c>
      <c r="AS91" s="12" t="s">
        <v>534</v>
      </c>
      <c r="AT91" s="12" t="s">
        <v>1109</v>
      </c>
      <c r="AU91" s="12" t="s">
        <v>542</v>
      </c>
      <c r="AV91" s="12" t="s">
        <v>511</v>
      </c>
      <c r="AW91" s="12" t="s">
        <v>1112</v>
      </c>
      <c r="AX91" s="12" t="s">
        <v>4116</v>
      </c>
      <c r="AY91" s="12" t="s">
        <v>1310</v>
      </c>
      <c r="AZ91" s="12"/>
      <c r="BA91" s="12" t="s">
        <v>1298</v>
      </c>
      <c r="BB91" s="12" t="s">
        <v>1298</v>
      </c>
      <c r="BC91" s="12" t="s">
        <v>597</v>
      </c>
      <c r="BD91" s="12" t="s">
        <v>663</v>
      </c>
      <c r="BE91" s="12" t="s">
        <v>658</v>
      </c>
      <c r="BF91" s="12" t="s">
        <v>173</v>
      </c>
      <c r="BG91" s="12" t="s">
        <v>1156</v>
      </c>
      <c r="BH91" s="12" t="s">
        <v>597</v>
      </c>
      <c r="BI91" s="12" t="s">
        <v>468</v>
      </c>
      <c r="BJ91" s="12"/>
      <c r="BK91" s="12" t="s">
        <v>1280</v>
      </c>
      <c r="BL91" s="12"/>
      <c r="BM91" s="12" t="s">
        <v>511</v>
      </c>
      <c r="BN91" s="12" t="s">
        <v>663</v>
      </c>
      <c r="BO91" s="12" t="s">
        <v>1108</v>
      </c>
      <c r="BP91" s="12" t="s">
        <v>597</v>
      </c>
      <c r="BQ91" s="12" t="s">
        <v>173</v>
      </c>
      <c r="BR91" s="12" t="s">
        <v>1357</v>
      </c>
      <c r="BS91" s="12" t="s">
        <v>505</v>
      </c>
      <c r="BT91" s="12" t="s">
        <v>173</v>
      </c>
      <c r="BU91" s="12" t="s">
        <v>652</v>
      </c>
      <c r="BV91" s="12" t="s">
        <v>659</v>
      </c>
      <c r="BW91" s="67" t="s">
        <v>418</v>
      </c>
      <c r="BX91" s="67" t="s">
        <v>418</v>
      </c>
      <c r="BY91" s="67" t="s">
        <v>597</v>
      </c>
      <c r="BZ91" s="67" t="s">
        <v>173</v>
      </c>
      <c r="CA91" s="67" t="s">
        <v>173</v>
      </c>
      <c r="CB91" s="67" t="s">
        <v>1109</v>
      </c>
      <c r="CC91" s="67" t="s">
        <v>173</v>
      </c>
      <c r="CD91" s="67" t="s">
        <v>468</v>
      </c>
      <c r="CE91" s="67" t="s">
        <v>1280</v>
      </c>
      <c r="CF91" s="67" t="s">
        <v>1280</v>
      </c>
      <c r="CG91" s="67" t="s">
        <v>173</v>
      </c>
      <c r="CH91" s="67" t="s">
        <v>173</v>
      </c>
      <c r="CI91" s="67" t="s">
        <v>173</v>
      </c>
      <c r="CJ91" s="67" t="s">
        <v>1115</v>
      </c>
      <c r="CK91" s="67" t="s">
        <v>5481</v>
      </c>
      <c r="CL91" s="67" t="s">
        <v>1109</v>
      </c>
      <c r="CM91" s="67" t="s">
        <v>511</v>
      </c>
      <c r="CN91" s="67" t="s">
        <v>534</v>
      </c>
      <c r="CO91" s="67" t="s">
        <v>631</v>
      </c>
      <c r="CP91" s="67" t="s">
        <v>663</v>
      </c>
      <c r="CQ91" s="67" t="s">
        <v>656</v>
      </c>
      <c r="CR91" s="67" t="s">
        <v>468</v>
      </c>
      <c r="CS91" s="67" t="s">
        <v>430</v>
      </c>
      <c r="CT91" s="67" t="s">
        <v>430</v>
      </c>
      <c r="CU91" s="67" t="s">
        <v>517</v>
      </c>
      <c r="CV91" s="67" t="s">
        <v>430</v>
      </c>
      <c r="CW91" s="67" t="s">
        <v>4662</v>
      </c>
      <c r="CX91" s="67" t="s">
        <v>450</v>
      </c>
      <c r="CY91" s="67" t="s">
        <v>430</v>
      </c>
      <c r="CZ91" s="67" t="s">
        <v>597</v>
      </c>
      <c r="DA91" s="67" t="s">
        <v>597</v>
      </c>
      <c r="DB91" s="67" t="s">
        <v>1298</v>
      </c>
      <c r="DC91" s="67" t="s">
        <v>1298</v>
      </c>
      <c r="DD91" s="67" t="s">
        <v>1298</v>
      </c>
      <c r="DE91" s="67" t="s">
        <v>1104</v>
      </c>
      <c r="DF91" s="67" t="s">
        <v>1299</v>
      </c>
      <c r="DG91" s="67" t="s">
        <v>1299</v>
      </c>
      <c r="DH91" s="67" t="s">
        <v>1246</v>
      </c>
      <c r="DI91" s="67" t="s">
        <v>1300</v>
      </c>
      <c r="DJ91" s="67" t="s">
        <v>656</v>
      </c>
      <c r="DK91" s="67" t="s">
        <v>1104</v>
      </c>
      <c r="DL91" s="67" t="s">
        <v>656</v>
      </c>
      <c r="DM91" s="67" t="s">
        <v>1104</v>
      </c>
      <c r="DN91" s="67" t="s">
        <v>1104</v>
      </c>
      <c r="DO91" s="67" t="s">
        <v>1104</v>
      </c>
      <c r="DP91" s="67" t="s">
        <v>656</v>
      </c>
      <c r="DQ91" s="67" t="s">
        <v>1104</v>
      </c>
      <c r="DR91" s="67"/>
      <c r="DS91" s="67"/>
      <c r="DT91" s="67"/>
      <c r="DU91" s="67" t="s">
        <v>452</v>
      </c>
      <c r="DV91" s="67" t="s">
        <v>547</v>
      </c>
      <c r="DW91" s="67" t="s">
        <v>652</v>
      </c>
      <c r="DX91" s="67" t="s">
        <v>531</v>
      </c>
      <c r="DY91" s="67" t="s">
        <v>173</v>
      </c>
      <c r="DZ91" s="67" t="s">
        <v>5501</v>
      </c>
      <c r="EA91" s="67" t="s">
        <v>1354</v>
      </c>
      <c r="EB91" s="67" t="s">
        <v>1115</v>
      </c>
      <c r="EC91" s="67" t="s">
        <v>580</v>
      </c>
      <c r="ED91" s="67" t="s">
        <v>472</v>
      </c>
      <c r="EE91" s="67" t="s">
        <v>1354</v>
      </c>
      <c r="EF91" s="67"/>
      <c r="EG91" s="67"/>
      <c r="EH91" s="67">
        <v>20</v>
      </c>
      <c r="EM91" t="s">
        <v>5526</v>
      </c>
      <c r="EN91" s="368" t="s">
        <v>1108</v>
      </c>
    </row>
    <row r="92" spans="1:144" x14ac:dyDescent="0.2">
      <c r="A92" s="77" t="s">
        <v>917</v>
      </c>
      <c r="B92" s="77" t="s">
        <v>923</v>
      </c>
      <c r="C92" s="77">
        <v>4</v>
      </c>
      <c r="D92" s="77"/>
      <c r="E92" s="77"/>
      <c r="F92" s="77"/>
      <c r="G92" s="77"/>
      <c r="H92" s="77">
        <v>4</v>
      </c>
      <c r="I92" s="77"/>
      <c r="J92" s="77">
        <v>2</v>
      </c>
      <c r="K92" s="77"/>
      <c r="L92" s="77"/>
      <c r="M92" s="77"/>
      <c r="N92" s="77"/>
      <c r="O92" s="77"/>
      <c r="P92" s="77">
        <v>5</v>
      </c>
      <c r="Q92" s="77">
        <v>15</v>
      </c>
      <c r="R92" s="77">
        <v>10</v>
      </c>
      <c r="S92" s="77">
        <v>4</v>
      </c>
      <c r="T92" s="77">
        <v>0.75</v>
      </c>
      <c r="U92" s="77">
        <f>S92*10</f>
        <v>40</v>
      </c>
      <c r="V92" s="12">
        <f t="shared" si="5"/>
        <v>10</v>
      </c>
      <c r="W92" s="12"/>
      <c r="X92" s="77" t="str">
        <f>Taulukko1[[#This Row],[Main Race]]</f>
        <v>High Man</v>
      </c>
      <c r="Z92" s="12" t="s">
        <v>923</v>
      </c>
      <c r="AA92" s="12">
        <v>6543</v>
      </c>
      <c r="AB92" s="12">
        <v>6543</v>
      </c>
      <c r="AC92" s="12">
        <v>7654</v>
      </c>
      <c r="AD92" s="12">
        <v>6453</v>
      </c>
      <c r="AE92" s="12">
        <v>6543</v>
      </c>
      <c r="AF92" s="12">
        <v>6543</v>
      </c>
      <c r="AG92" s="12">
        <v>6543</v>
      </c>
      <c r="AH92" s="12">
        <v>7531</v>
      </c>
      <c r="AJ92" s="12"/>
      <c r="AK92" s="12" t="s">
        <v>4106</v>
      </c>
      <c r="AL92" s="12"/>
      <c r="AM92" s="12"/>
      <c r="AN92" s="12" t="s">
        <v>652</v>
      </c>
      <c r="AO92" s="12" t="s">
        <v>652</v>
      </c>
      <c r="AP92" s="12" t="s">
        <v>1115</v>
      </c>
      <c r="AQ92" s="12"/>
      <c r="AR92" s="12" t="s">
        <v>1109</v>
      </c>
      <c r="AS92" s="12" t="s">
        <v>602</v>
      </c>
      <c r="AT92" s="12" t="s">
        <v>401</v>
      </c>
      <c r="AU92" s="12" t="s">
        <v>1104</v>
      </c>
      <c r="AV92" s="12" t="s">
        <v>542</v>
      </c>
      <c r="AW92" s="12" t="s">
        <v>1321</v>
      </c>
      <c r="AX92" s="12" t="s">
        <v>408</v>
      </c>
      <c r="AY92" s="12" t="s">
        <v>1124</v>
      </c>
      <c r="AZ92" s="12" t="s">
        <v>658</v>
      </c>
      <c r="BA92" s="12" t="s">
        <v>534</v>
      </c>
      <c r="BB92" s="12" t="s">
        <v>534</v>
      </c>
      <c r="BC92" s="12" t="s">
        <v>1121</v>
      </c>
      <c r="BD92" s="12" t="s">
        <v>1107</v>
      </c>
      <c r="BE92" s="12" t="s">
        <v>1279</v>
      </c>
      <c r="BF92" s="12" t="s">
        <v>1108</v>
      </c>
      <c r="BG92" s="12" t="s">
        <v>597</v>
      </c>
      <c r="BH92" s="12" t="s">
        <v>1121</v>
      </c>
      <c r="BI92" s="12" t="s">
        <v>1109</v>
      </c>
      <c r="BJ92" s="12"/>
      <c r="BK92" s="12" t="s">
        <v>468</v>
      </c>
      <c r="BL92" s="12"/>
      <c r="BM92" s="12" t="s">
        <v>173</v>
      </c>
      <c r="BN92" s="12" t="s">
        <v>1107</v>
      </c>
      <c r="BO92" s="12" t="s">
        <v>468</v>
      </c>
      <c r="BP92" s="12"/>
      <c r="BQ92" s="12" t="s">
        <v>1108</v>
      </c>
      <c r="BR92" s="12" t="s">
        <v>511</v>
      </c>
      <c r="BS92" s="12" t="s">
        <v>658</v>
      </c>
      <c r="BT92" s="12" t="s">
        <v>1108</v>
      </c>
      <c r="BU92" s="12" t="s">
        <v>1302</v>
      </c>
      <c r="BV92" s="12" t="s">
        <v>1156</v>
      </c>
      <c r="BW92" s="67" t="s">
        <v>1108</v>
      </c>
      <c r="BX92" s="67" t="s">
        <v>1108</v>
      </c>
      <c r="BY92" s="67" t="s">
        <v>1121</v>
      </c>
      <c r="BZ92" s="67" t="s">
        <v>1108</v>
      </c>
      <c r="CA92" s="67" t="s">
        <v>1108</v>
      </c>
      <c r="CB92" s="67" t="s">
        <v>401</v>
      </c>
      <c r="CC92" s="67" t="s">
        <v>1108</v>
      </c>
      <c r="CD92" s="67" t="s">
        <v>410</v>
      </c>
      <c r="CE92" s="67" t="s">
        <v>468</v>
      </c>
      <c r="CF92" s="67" t="s">
        <v>468</v>
      </c>
      <c r="CG92" s="67" t="s">
        <v>1108</v>
      </c>
      <c r="CH92" s="67" t="s">
        <v>1108</v>
      </c>
      <c r="CI92" s="67" t="s">
        <v>1108</v>
      </c>
      <c r="CJ92" s="67" t="s">
        <v>652</v>
      </c>
      <c r="CK92" s="67" t="s">
        <v>173</v>
      </c>
      <c r="CL92" s="67" t="s">
        <v>401</v>
      </c>
      <c r="CM92" s="67" t="s">
        <v>542</v>
      </c>
      <c r="CN92" s="67" t="s">
        <v>602</v>
      </c>
      <c r="CO92" s="67" t="s">
        <v>1109</v>
      </c>
      <c r="CP92" s="67" t="s">
        <v>1107</v>
      </c>
      <c r="CQ92" s="67" t="s">
        <v>1108</v>
      </c>
      <c r="CR92" s="67" t="s">
        <v>652</v>
      </c>
      <c r="CS92" s="67" t="s">
        <v>658</v>
      </c>
      <c r="CT92" s="67" t="s">
        <v>658</v>
      </c>
      <c r="CU92" s="67" t="s">
        <v>430</v>
      </c>
      <c r="CV92" s="67" t="s">
        <v>658</v>
      </c>
      <c r="CW92" s="67" t="s">
        <v>517</v>
      </c>
      <c r="CX92" s="67" t="s">
        <v>602</v>
      </c>
      <c r="CY92" s="67" t="s">
        <v>658</v>
      </c>
      <c r="CZ92" s="67" t="s">
        <v>1279</v>
      </c>
      <c r="DA92" s="67" t="s">
        <v>1279</v>
      </c>
      <c r="DB92" s="67" t="s">
        <v>534</v>
      </c>
      <c r="DC92" s="67" t="s">
        <v>534</v>
      </c>
      <c r="DD92" s="67" t="s">
        <v>534</v>
      </c>
      <c r="DE92" s="67" t="s">
        <v>505</v>
      </c>
      <c r="DF92" s="67" t="s">
        <v>1108</v>
      </c>
      <c r="DG92" s="67" t="s">
        <v>1108</v>
      </c>
      <c r="DH92" s="67" t="s">
        <v>1273</v>
      </c>
      <c r="DI92" s="67" t="s">
        <v>418</v>
      </c>
      <c r="DJ92" s="67" t="s">
        <v>1108</v>
      </c>
      <c r="DK92" s="67" t="s">
        <v>656</v>
      </c>
      <c r="DL92" s="67" t="s">
        <v>1108</v>
      </c>
      <c r="DM92" s="67" t="s">
        <v>656</v>
      </c>
      <c r="DN92" s="67" t="s">
        <v>656</v>
      </c>
      <c r="DO92" s="67" t="s">
        <v>656</v>
      </c>
      <c r="DP92" s="67" t="s">
        <v>1108</v>
      </c>
      <c r="DQ92" s="67" t="s">
        <v>656</v>
      </c>
      <c r="DR92" s="67"/>
      <c r="DS92" s="67"/>
      <c r="DT92" s="67"/>
      <c r="DU92" s="67" t="s">
        <v>453</v>
      </c>
      <c r="DV92" s="67" t="s">
        <v>414</v>
      </c>
      <c r="DW92" s="67" t="s">
        <v>1302</v>
      </c>
      <c r="DX92" s="67" t="s">
        <v>446</v>
      </c>
      <c r="DY92" s="67" t="s">
        <v>532</v>
      </c>
      <c r="DZ92" s="67" t="s">
        <v>388</v>
      </c>
      <c r="EA92" s="67"/>
      <c r="EB92" s="67" t="s">
        <v>468</v>
      </c>
      <c r="EC92" s="67"/>
      <c r="ED92" s="67" t="s">
        <v>1354</v>
      </c>
      <c r="EE92" s="67"/>
      <c r="EF92" s="67"/>
      <c r="EG92" s="67"/>
      <c r="EH92" s="67">
        <v>21</v>
      </c>
      <c r="EM92" t="s">
        <v>5526</v>
      </c>
      <c r="EN92" s="369" t="s">
        <v>1115</v>
      </c>
    </row>
    <row r="93" spans="1:144" x14ac:dyDescent="0.2">
      <c r="A93" s="77" t="s">
        <v>4055</v>
      </c>
      <c r="B93" s="77" t="s">
        <v>4071</v>
      </c>
      <c r="C93" s="77"/>
      <c r="D93" s="77"/>
      <c r="E93" s="77">
        <v>2</v>
      </c>
      <c r="F93" s="77"/>
      <c r="G93" s="77"/>
      <c r="H93" s="77">
        <v>2</v>
      </c>
      <c r="I93" s="77"/>
      <c r="J93" s="77"/>
      <c r="K93" s="77"/>
      <c r="L93" s="77"/>
      <c r="M93" s="77"/>
      <c r="N93" s="77"/>
      <c r="O93" s="77"/>
      <c r="P93" s="77"/>
      <c r="Q93" s="77"/>
      <c r="R93" s="77">
        <v>1</v>
      </c>
      <c r="S93" s="77">
        <v>6</v>
      </c>
      <c r="T93" s="77">
        <v>1</v>
      </c>
      <c r="U93" s="77">
        <v>60</v>
      </c>
      <c r="V93" s="12">
        <f t="shared" si="5"/>
        <v>4</v>
      </c>
      <c r="W93" s="12"/>
      <c r="X93" s="77" t="str">
        <f>Taulukko1[[#This Row],[Main Race]]</f>
        <v>Human</v>
      </c>
      <c r="Z93" s="12" t="s">
        <v>4071</v>
      </c>
      <c r="AA93" s="12">
        <v>6543</v>
      </c>
      <c r="AB93" s="12">
        <v>6543</v>
      </c>
      <c r="AC93" s="12">
        <v>7654</v>
      </c>
      <c r="AD93" s="12">
        <v>6543</v>
      </c>
      <c r="AE93" s="12">
        <v>6543</v>
      </c>
      <c r="AF93" s="12">
        <v>6543</v>
      </c>
      <c r="AG93" s="12">
        <v>6543</v>
      </c>
      <c r="AH93" s="12">
        <v>6421</v>
      </c>
      <c r="AJ93" s="12"/>
      <c r="AK93" s="12" t="s">
        <v>4192</v>
      </c>
      <c r="AL93" s="12" t="s">
        <v>431</v>
      </c>
      <c r="AM93" s="12" t="s">
        <v>658</v>
      </c>
      <c r="AN93" s="12" t="s">
        <v>534</v>
      </c>
      <c r="AO93" s="12" t="s">
        <v>534</v>
      </c>
      <c r="AP93" s="12" t="s">
        <v>652</v>
      </c>
      <c r="AQ93" s="12"/>
      <c r="AR93" s="12" t="s">
        <v>1304</v>
      </c>
      <c r="AS93" s="12" t="s">
        <v>517</v>
      </c>
      <c r="AT93" s="12" t="s">
        <v>534</v>
      </c>
      <c r="AU93" s="12" t="s">
        <v>656</v>
      </c>
      <c r="AV93" s="12" t="s">
        <v>1104</v>
      </c>
      <c r="AW93" s="12" t="s">
        <v>1112</v>
      </c>
      <c r="AX93" s="12" t="s">
        <v>1109</v>
      </c>
      <c r="AY93" s="12" t="s">
        <v>1321</v>
      </c>
      <c r="AZ93" s="12" t="s">
        <v>1279</v>
      </c>
      <c r="BA93" s="12" t="s">
        <v>1306</v>
      </c>
      <c r="BB93" s="12" t="s">
        <v>1306</v>
      </c>
      <c r="BC93" s="12"/>
      <c r="BD93" s="12" t="s">
        <v>656</v>
      </c>
      <c r="BE93" s="12" t="s">
        <v>433</v>
      </c>
      <c r="BF93" s="12" t="s">
        <v>1115</v>
      </c>
      <c r="BG93" s="12" t="s">
        <v>1121</v>
      </c>
      <c r="BH93" s="12" t="s">
        <v>4141</v>
      </c>
      <c r="BI93" s="12" t="s">
        <v>401</v>
      </c>
      <c r="BJ93" s="12"/>
      <c r="BK93" s="12" t="s">
        <v>410</v>
      </c>
      <c r="BL93" s="12"/>
      <c r="BM93" s="12" t="s">
        <v>1108</v>
      </c>
      <c r="BN93" s="12" t="s">
        <v>656</v>
      </c>
      <c r="BO93" s="12" t="s">
        <v>410</v>
      </c>
      <c r="BP93" s="12"/>
      <c r="BQ93" s="12" t="s">
        <v>1115</v>
      </c>
      <c r="BR93" s="12" t="s">
        <v>508</v>
      </c>
      <c r="BS93" s="12" t="s">
        <v>1126</v>
      </c>
      <c r="BT93" s="12" t="s">
        <v>1115</v>
      </c>
      <c r="BU93" s="12" t="s">
        <v>450</v>
      </c>
      <c r="BV93" s="12" t="s">
        <v>1321</v>
      </c>
      <c r="BW93" s="67" t="s">
        <v>1115</v>
      </c>
      <c r="BX93" s="67" t="s">
        <v>1115</v>
      </c>
      <c r="BY93" s="67"/>
      <c r="BZ93" s="67" t="s">
        <v>1115</v>
      </c>
      <c r="CA93" s="67" t="s">
        <v>1115</v>
      </c>
      <c r="CB93" s="67" t="s">
        <v>1303</v>
      </c>
      <c r="CC93" s="67" t="s">
        <v>1115</v>
      </c>
      <c r="CD93" s="67" t="s">
        <v>652</v>
      </c>
      <c r="CE93" s="67" t="s">
        <v>410</v>
      </c>
      <c r="CF93" s="67" t="s">
        <v>410</v>
      </c>
      <c r="CG93" s="67" t="s">
        <v>1115</v>
      </c>
      <c r="CH93" s="67" t="s">
        <v>1115</v>
      </c>
      <c r="CI93" s="67" t="s">
        <v>1115</v>
      </c>
      <c r="CJ93" s="67" t="s">
        <v>534</v>
      </c>
      <c r="CK93" s="67" t="s">
        <v>5483</v>
      </c>
      <c r="CL93" s="67" t="s">
        <v>534</v>
      </c>
      <c r="CM93" s="67" t="s">
        <v>1104</v>
      </c>
      <c r="CN93" s="67" t="s">
        <v>517</v>
      </c>
      <c r="CO93" s="67" t="s">
        <v>1304</v>
      </c>
      <c r="CP93" s="67" t="s">
        <v>656</v>
      </c>
      <c r="CQ93" s="67" t="s">
        <v>468</v>
      </c>
      <c r="CR93" s="67" t="s">
        <v>534</v>
      </c>
      <c r="CS93" s="67" t="s">
        <v>1279</v>
      </c>
      <c r="CT93" s="67" t="s">
        <v>1279</v>
      </c>
      <c r="CU93" s="67" t="s">
        <v>658</v>
      </c>
      <c r="CV93" s="67" t="s">
        <v>1279</v>
      </c>
      <c r="CW93" s="67" t="s">
        <v>430</v>
      </c>
      <c r="CX93" s="67" t="s">
        <v>547</v>
      </c>
      <c r="CY93" s="67" t="s">
        <v>1279</v>
      </c>
      <c r="CZ93" s="67" t="s">
        <v>1305</v>
      </c>
      <c r="DA93" s="67" t="s">
        <v>1305</v>
      </c>
      <c r="DB93" s="67" t="s">
        <v>1306</v>
      </c>
      <c r="DC93" s="67" t="s">
        <v>1306</v>
      </c>
      <c r="DD93" s="67" t="s">
        <v>1306</v>
      </c>
      <c r="DE93" s="67" t="s">
        <v>521</v>
      </c>
      <c r="DF93" s="67" t="s">
        <v>511</v>
      </c>
      <c r="DG93" s="67" t="s">
        <v>511</v>
      </c>
      <c r="DH93" s="67" t="s">
        <v>1307</v>
      </c>
      <c r="DI93" s="67" t="s">
        <v>1108</v>
      </c>
      <c r="DJ93" s="67" t="s">
        <v>676</v>
      </c>
      <c r="DK93" s="67" t="s">
        <v>1108</v>
      </c>
      <c r="DL93" s="67" t="s">
        <v>676</v>
      </c>
      <c r="DM93" s="67" t="s">
        <v>1108</v>
      </c>
      <c r="DN93" s="67" t="s">
        <v>1108</v>
      </c>
      <c r="DO93" s="67" t="s">
        <v>1108</v>
      </c>
      <c r="DP93" s="67" t="s">
        <v>676</v>
      </c>
      <c r="DQ93" s="67" t="s">
        <v>1108</v>
      </c>
      <c r="DR93" s="67"/>
      <c r="DS93" s="67"/>
      <c r="DT93" s="67"/>
      <c r="DU93" s="67" t="s">
        <v>1124</v>
      </c>
      <c r="DV93" s="67" t="s">
        <v>505</v>
      </c>
      <c r="DW93" s="67" t="s">
        <v>450</v>
      </c>
      <c r="DX93" s="67" t="s">
        <v>418</v>
      </c>
      <c r="DY93" s="67" t="s">
        <v>1108</v>
      </c>
      <c r="DZ93" s="67" t="s">
        <v>485</v>
      </c>
      <c r="EA93" s="67"/>
      <c r="EB93" s="67" t="s">
        <v>652</v>
      </c>
      <c r="EC93" s="67"/>
      <c r="ED93" s="67"/>
      <c r="EE93" s="67"/>
      <c r="EF93" s="67"/>
      <c r="EG93" s="67"/>
      <c r="EH93" s="67">
        <v>22</v>
      </c>
      <c r="EM93" t="s">
        <v>5526</v>
      </c>
      <c r="EN93" s="368" t="s">
        <v>5497</v>
      </c>
    </row>
    <row r="94" spans="1:144" x14ac:dyDescent="0.2">
      <c r="A94" s="77" t="s">
        <v>1015</v>
      </c>
      <c r="B94" s="77" t="s">
        <v>891</v>
      </c>
      <c r="C94" s="77">
        <v>2</v>
      </c>
      <c r="D94" s="77">
        <v>2</v>
      </c>
      <c r="E94" s="77"/>
      <c r="F94" s="77"/>
      <c r="G94" s="77"/>
      <c r="H94" s="77">
        <v>2</v>
      </c>
      <c r="I94" s="77">
        <v>2</v>
      </c>
      <c r="J94" s="77">
        <v>-2</v>
      </c>
      <c r="K94" s="77">
        <v>2</v>
      </c>
      <c r="L94" s="77">
        <v>-2</v>
      </c>
      <c r="M94" s="77"/>
      <c r="N94" s="77"/>
      <c r="O94" s="77"/>
      <c r="P94" s="77"/>
      <c r="Q94" s="77"/>
      <c r="R94" s="77">
        <v>12</v>
      </c>
      <c r="S94" s="77">
        <v>5</v>
      </c>
      <c r="T94" s="77">
        <v>1</v>
      </c>
      <c r="U94" s="77">
        <f>S94*10</f>
        <v>50</v>
      </c>
      <c r="V94" s="12">
        <f t="shared" si="5"/>
        <v>6</v>
      </c>
      <c r="W94" s="12"/>
      <c r="X94" s="77" t="str">
        <f>Taulukko1[[#This Row],[Main Race]]</f>
        <v>Dark Tribes</v>
      </c>
      <c r="Z94" s="12" t="s">
        <v>891</v>
      </c>
      <c r="AA94" s="12">
        <v>6543</v>
      </c>
      <c r="AB94" s="12">
        <v>6543</v>
      </c>
      <c r="AC94" s="12">
        <v>7654</v>
      </c>
      <c r="AD94" s="12">
        <v>6543</v>
      </c>
      <c r="AE94" s="12">
        <v>6543</v>
      </c>
      <c r="AF94" s="12">
        <v>6543</v>
      </c>
      <c r="AG94" s="12">
        <v>6543</v>
      </c>
      <c r="AH94" s="12">
        <v>6421</v>
      </c>
      <c r="AJ94" s="12"/>
      <c r="AK94" s="69" t="s">
        <v>4193</v>
      </c>
      <c r="AL94" s="12" t="s">
        <v>658</v>
      </c>
      <c r="AM94" s="12" t="s">
        <v>3958</v>
      </c>
      <c r="AN94" s="12" t="s">
        <v>1310</v>
      </c>
      <c r="AO94" s="12" t="s">
        <v>1310</v>
      </c>
      <c r="AP94" s="12" t="s">
        <v>534</v>
      </c>
      <c r="AQ94" s="12"/>
      <c r="AR94" s="12" t="s">
        <v>534</v>
      </c>
      <c r="AS94" s="12" t="s">
        <v>414</v>
      </c>
      <c r="AT94" s="12" t="s">
        <v>602</v>
      </c>
      <c r="AU94" s="12" t="s">
        <v>1108</v>
      </c>
      <c r="AV94" s="12" t="s">
        <v>656</v>
      </c>
      <c r="AW94" s="12" t="s">
        <v>475</v>
      </c>
      <c r="AX94" s="12" t="s">
        <v>403</v>
      </c>
      <c r="AY94" s="69" t="s">
        <v>4195</v>
      </c>
      <c r="AZ94" s="12" t="s">
        <v>404</v>
      </c>
      <c r="BA94" s="12" t="s">
        <v>517</v>
      </c>
      <c r="BB94" s="12" t="s">
        <v>517</v>
      </c>
      <c r="BC94" s="12"/>
      <c r="BD94" s="12" t="s">
        <v>1312</v>
      </c>
      <c r="BE94" s="12" t="s">
        <v>536</v>
      </c>
      <c r="BF94" s="12" t="s">
        <v>468</v>
      </c>
      <c r="BG94" s="12" t="s">
        <v>677</v>
      </c>
      <c r="BH94" s="12" t="s">
        <v>1119</v>
      </c>
      <c r="BI94" s="12" t="s">
        <v>534</v>
      </c>
      <c r="BJ94" s="12"/>
      <c r="BK94" s="12" t="s">
        <v>534</v>
      </c>
      <c r="BL94" s="12"/>
      <c r="BM94" s="12" t="s">
        <v>1115</v>
      </c>
      <c r="BN94" s="12" t="s">
        <v>1108</v>
      </c>
      <c r="BO94" s="12" t="s">
        <v>652</v>
      </c>
      <c r="BP94" s="12"/>
      <c r="BQ94" s="12" t="s">
        <v>468</v>
      </c>
      <c r="BR94" s="12" t="s">
        <v>487</v>
      </c>
      <c r="BS94" s="12" t="s">
        <v>505</v>
      </c>
      <c r="BT94" s="12" t="s">
        <v>468</v>
      </c>
      <c r="BU94" s="12" t="s">
        <v>547</v>
      </c>
      <c r="BV94" s="12" t="s">
        <v>4199</v>
      </c>
      <c r="BW94" s="67" t="s">
        <v>468</v>
      </c>
      <c r="BX94" s="67" t="s">
        <v>468</v>
      </c>
      <c r="BY94" s="67"/>
      <c r="BZ94" s="67" t="s">
        <v>468</v>
      </c>
      <c r="CA94" s="67" t="s">
        <v>468</v>
      </c>
      <c r="CB94" s="67" t="s">
        <v>534</v>
      </c>
      <c r="CC94" s="67" t="s">
        <v>468</v>
      </c>
      <c r="CD94" s="67" t="s">
        <v>534</v>
      </c>
      <c r="CE94" s="67" t="s">
        <v>534</v>
      </c>
      <c r="CF94" s="67" t="s">
        <v>534</v>
      </c>
      <c r="CG94" s="67" t="s">
        <v>468</v>
      </c>
      <c r="CH94" s="67" t="s">
        <v>468</v>
      </c>
      <c r="CI94" s="67" t="s">
        <v>468</v>
      </c>
      <c r="CJ94" s="67" t="s">
        <v>1310</v>
      </c>
      <c r="CK94" s="67" t="s">
        <v>631</v>
      </c>
      <c r="CL94" s="67" t="s">
        <v>602</v>
      </c>
      <c r="CM94" s="67" t="s">
        <v>656</v>
      </c>
      <c r="CN94" s="67" t="s">
        <v>1311</v>
      </c>
      <c r="CO94" s="67" t="s">
        <v>534</v>
      </c>
      <c r="CP94" s="67" t="s">
        <v>1312</v>
      </c>
      <c r="CQ94" s="67" t="s">
        <v>410</v>
      </c>
      <c r="CR94" s="67" t="s">
        <v>602</v>
      </c>
      <c r="CS94" s="67" t="s">
        <v>433</v>
      </c>
      <c r="CT94" s="67" t="s">
        <v>433</v>
      </c>
      <c r="CU94" s="67" t="s">
        <v>1279</v>
      </c>
      <c r="CV94" s="67" t="s">
        <v>433</v>
      </c>
      <c r="CW94" s="67" t="s">
        <v>658</v>
      </c>
      <c r="CX94" s="67" t="s">
        <v>517</v>
      </c>
      <c r="CY94" s="67" t="s">
        <v>433</v>
      </c>
      <c r="CZ94" s="67" t="s">
        <v>404</v>
      </c>
      <c r="DA94" s="67" t="s">
        <v>404</v>
      </c>
      <c r="DB94" s="67" t="s">
        <v>517</v>
      </c>
      <c r="DC94" s="67" t="s">
        <v>517</v>
      </c>
      <c r="DD94" s="67" t="s">
        <v>517</v>
      </c>
      <c r="DE94" s="67" t="s">
        <v>1299</v>
      </c>
      <c r="DF94" s="67" t="s">
        <v>1277</v>
      </c>
      <c r="DG94" s="67" t="s">
        <v>1277</v>
      </c>
      <c r="DH94" s="67" t="s">
        <v>1313</v>
      </c>
      <c r="DI94" s="67" t="s">
        <v>1115</v>
      </c>
      <c r="DJ94" s="67" t="s">
        <v>468</v>
      </c>
      <c r="DK94" s="67" t="s">
        <v>676</v>
      </c>
      <c r="DL94" s="67" t="s">
        <v>468</v>
      </c>
      <c r="DM94" s="67" t="s">
        <v>676</v>
      </c>
      <c r="DN94" s="67" t="s">
        <v>676</v>
      </c>
      <c r="DO94" s="67" t="s">
        <v>676</v>
      </c>
      <c r="DP94" s="67" t="s">
        <v>468</v>
      </c>
      <c r="DQ94" s="67" t="s">
        <v>676</v>
      </c>
      <c r="DR94" s="67"/>
      <c r="DS94" s="67"/>
      <c r="DT94" s="67"/>
      <c r="DU94" s="67" t="s">
        <v>1314</v>
      </c>
      <c r="DV94" s="67" t="s">
        <v>658</v>
      </c>
      <c r="DW94" s="67" t="s">
        <v>547</v>
      </c>
      <c r="DX94" s="67" t="s">
        <v>532</v>
      </c>
      <c r="DY94" s="67" t="s">
        <v>1115</v>
      </c>
      <c r="DZ94" s="67" t="s">
        <v>658</v>
      </c>
      <c r="EA94" s="67"/>
      <c r="EB94" s="67" t="s">
        <v>1671</v>
      </c>
      <c r="EC94" s="67"/>
      <c r="ED94" s="67"/>
      <c r="EE94" s="67"/>
      <c r="EF94" s="67"/>
      <c r="EG94" s="67"/>
      <c r="EH94" s="67">
        <v>23</v>
      </c>
      <c r="EM94" t="s">
        <v>5526</v>
      </c>
      <c r="EN94" s="368" t="s">
        <v>468</v>
      </c>
    </row>
    <row r="95" spans="1:144" x14ac:dyDescent="0.2">
      <c r="A95" s="77" t="s">
        <v>994</v>
      </c>
      <c r="B95" s="77" t="s">
        <v>1130</v>
      </c>
      <c r="C95" s="77">
        <v>8</v>
      </c>
      <c r="D95" s="77"/>
      <c r="E95" s="77">
        <v>-2</v>
      </c>
      <c r="F95" s="77"/>
      <c r="G95" s="77"/>
      <c r="H95" s="77">
        <v>4</v>
      </c>
      <c r="I95" s="77"/>
      <c r="J95" s="77">
        <v>-4</v>
      </c>
      <c r="K95" s="77">
        <v>-6</v>
      </c>
      <c r="L95" s="77">
        <v>-2</v>
      </c>
      <c r="M95" s="77"/>
      <c r="N95" s="77"/>
      <c r="O95" s="77"/>
      <c r="P95" s="77">
        <v>20</v>
      </c>
      <c r="Q95" s="77">
        <v>5</v>
      </c>
      <c r="R95" s="77">
        <v>1</v>
      </c>
      <c r="S95" s="77">
        <v>4</v>
      </c>
      <c r="T95" s="77">
        <v>0.5</v>
      </c>
      <c r="U95" s="77">
        <v>45</v>
      </c>
      <c r="V95" s="12">
        <f t="shared" si="5"/>
        <v>-2</v>
      </c>
      <c r="W95" s="12"/>
      <c r="X95" s="77" t="str">
        <f>Taulukko1[[#This Row],[Main Race]]</f>
        <v>Orc</v>
      </c>
      <c r="Z95" s="12" t="s">
        <v>1130</v>
      </c>
      <c r="AA95" s="12">
        <v>5322</v>
      </c>
      <c r="AB95" s="12">
        <v>6543</v>
      </c>
      <c r="AC95" s="12">
        <v>5322</v>
      </c>
      <c r="AD95" s="12">
        <v>5322</v>
      </c>
      <c r="AE95" s="12">
        <v>5322</v>
      </c>
      <c r="AF95" s="12">
        <v>5322</v>
      </c>
      <c r="AG95" s="12">
        <v>5322</v>
      </c>
      <c r="AH95" s="12">
        <v>7421</v>
      </c>
      <c r="AJ95" s="12"/>
      <c r="AK95" s="12" t="s">
        <v>4199</v>
      </c>
      <c r="AL95" s="12" t="s">
        <v>3958</v>
      </c>
      <c r="AM95" s="12" t="s">
        <v>433</v>
      </c>
      <c r="AN95" s="12" t="s">
        <v>1124</v>
      </c>
      <c r="AO95" s="12" t="s">
        <v>1124</v>
      </c>
      <c r="AP95" s="12" t="s">
        <v>1310</v>
      </c>
      <c r="AQ95" s="12"/>
      <c r="AR95" s="12" t="s">
        <v>547</v>
      </c>
      <c r="AS95" s="12" t="s">
        <v>1317</v>
      </c>
      <c r="AT95" s="12" t="s">
        <v>587</v>
      </c>
      <c r="AU95" s="12" t="s">
        <v>631</v>
      </c>
      <c r="AV95" s="12" t="s">
        <v>173</v>
      </c>
      <c r="AW95" s="12" t="s">
        <v>4199</v>
      </c>
      <c r="AX95" s="12" t="s">
        <v>4199</v>
      </c>
      <c r="AY95" s="12" t="s">
        <v>565</v>
      </c>
      <c r="AZ95" s="12" t="s">
        <v>597</v>
      </c>
      <c r="BA95" s="12" t="s">
        <v>430</v>
      </c>
      <c r="BB95" s="12" t="s">
        <v>658</v>
      </c>
      <c r="BC95" s="12"/>
      <c r="BD95" s="12" t="s">
        <v>173</v>
      </c>
      <c r="BE95" s="12" t="s">
        <v>1156</v>
      </c>
      <c r="BF95" s="12" t="s">
        <v>410</v>
      </c>
      <c r="BG95" s="12"/>
      <c r="BH95" s="12"/>
      <c r="BI95" s="12" t="s">
        <v>1306</v>
      </c>
      <c r="BJ95" s="12"/>
      <c r="BK95" s="12" t="s">
        <v>450</v>
      </c>
      <c r="BL95" s="12"/>
      <c r="BM95" s="12" t="s">
        <v>468</v>
      </c>
      <c r="BN95" s="12" t="s">
        <v>491</v>
      </c>
      <c r="BO95" s="12" t="s">
        <v>1109</v>
      </c>
      <c r="BP95" s="12"/>
      <c r="BQ95" s="12" t="s">
        <v>410</v>
      </c>
      <c r="BR95" s="12" t="s">
        <v>475</v>
      </c>
      <c r="BS95" s="12" t="s">
        <v>404</v>
      </c>
      <c r="BT95" s="12" t="s">
        <v>410</v>
      </c>
      <c r="BU95" s="12" t="s">
        <v>1320</v>
      </c>
      <c r="BV95" s="12"/>
      <c r="BW95" s="67" t="s">
        <v>1109</v>
      </c>
      <c r="BX95" s="67" t="s">
        <v>1109</v>
      </c>
      <c r="BY95" s="67"/>
      <c r="BZ95" s="67" t="s">
        <v>410</v>
      </c>
      <c r="CA95" s="67" t="s">
        <v>410</v>
      </c>
      <c r="CB95" s="67" t="s">
        <v>1316</v>
      </c>
      <c r="CC95" s="67" t="s">
        <v>410</v>
      </c>
      <c r="CD95" s="67" t="s">
        <v>602</v>
      </c>
      <c r="CE95" s="67" t="s">
        <v>450</v>
      </c>
      <c r="CF95" s="67" t="s">
        <v>450</v>
      </c>
      <c r="CG95" s="67" t="s">
        <v>410</v>
      </c>
      <c r="CH95" s="67" t="s">
        <v>410</v>
      </c>
      <c r="CI95" s="67" t="s">
        <v>410</v>
      </c>
      <c r="CJ95" s="67" t="s">
        <v>1124</v>
      </c>
      <c r="CK95" s="67" t="s">
        <v>717</v>
      </c>
      <c r="CL95" s="67" t="s">
        <v>587</v>
      </c>
      <c r="CM95" s="67" t="s">
        <v>173</v>
      </c>
      <c r="CN95" s="67" t="s">
        <v>1317</v>
      </c>
      <c r="CO95" s="67" t="s">
        <v>547</v>
      </c>
      <c r="CP95" s="67" t="s">
        <v>173</v>
      </c>
      <c r="CQ95" s="67" t="s">
        <v>450</v>
      </c>
      <c r="CR95" s="67" t="s">
        <v>547</v>
      </c>
      <c r="CS95" s="67" t="s">
        <v>472</v>
      </c>
      <c r="CT95" s="67" t="s">
        <v>472</v>
      </c>
      <c r="CU95" s="67" t="s">
        <v>433</v>
      </c>
      <c r="CV95" s="67" t="s">
        <v>536</v>
      </c>
      <c r="CW95" s="67" t="s">
        <v>1279</v>
      </c>
      <c r="CX95" s="67" t="s">
        <v>505</v>
      </c>
      <c r="CY95" s="67" t="s">
        <v>536</v>
      </c>
      <c r="CZ95" s="67" t="s">
        <v>403</v>
      </c>
      <c r="DA95" s="67" t="s">
        <v>403</v>
      </c>
      <c r="DB95" s="67" t="s">
        <v>430</v>
      </c>
      <c r="DC95" s="67" t="s">
        <v>430</v>
      </c>
      <c r="DD95" s="67" t="s">
        <v>430</v>
      </c>
      <c r="DE95" s="67" t="s">
        <v>1290</v>
      </c>
      <c r="DF95" s="67" t="s">
        <v>429</v>
      </c>
      <c r="DG95" s="67" t="s">
        <v>429</v>
      </c>
      <c r="DH95" s="67" t="s">
        <v>1318</v>
      </c>
      <c r="DI95" s="67" t="s">
        <v>1319</v>
      </c>
      <c r="DJ95" s="67" t="s">
        <v>587</v>
      </c>
      <c r="DK95" s="67" t="s">
        <v>468</v>
      </c>
      <c r="DL95" s="67" t="s">
        <v>587</v>
      </c>
      <c r="DM95" s="67" t="s">
        <v>468</v>
      </c>
      <c r="DN95" s="67" t="s">
        <v>468</v>
      </c>
      <c r="DO95" s="67" t="s">
        <v>468</v>
      </c>
      <c r="DP95" s="67" t="s">
        <v>587</v>
      </c>
      <c r="DQ95" s="67" t="s">
        <v>468</v>
      </c>
      <c r="DR95" s="67"/>
      <c r="DS95" s="67"/>
      <c r="DT95" s="67"/>
      <c r="DU95" s="67" t="s">
        <v>658</v>
      </c>
      <c r="DV95" s="67" t="s">
        <v>1126</v>
      </c>
      <c r="DW95" s="67" t="s">
        <v>1320</v>
      </c>
      <c r="DX95" s="67" t="s">
        <v>1108</v>
      </c>
      <c r="DY95" s="67" t="s">
        <v>5497</v>
      </c>
      <c r="DZ95" s="67" t="s">
        <v>5512</v>
      </c>
      <c r="EA95" s="67"/>
      <c r="EB95" s="67" t="s">
        <v>587</v>
      </c>
      <c r="EC95" s="67"/>
      <c r="ED95" s="67"/>
      <c r="EE95" s="67"/>
      <c r="EF95" s="67"/>
      <c r="EG95" s="67"/>
      <c r="EH95" s="67">
        <v>24</v>
      </c>
      <c r="EM95" t="s">
        <v>5526</v>
      </c>
      <c r="EN95" s="369" t="s">
        <v>652</v>
      </c>
    </row>
    <row r="96" spans="1:144" x14ac:dyDescent="0.2">
      <c r="A96" s="77" t="s">
        <v>888</v>
      </c>
      <c r="B96" s="77" t="s">
        <v>947</v>
      </c>
      <c r="C96" s="77"/>
      <c r="D96" s="77"/>
      <c r="E96" s="77">
        <v>2</v>
      </c>
      <c r="F96" s="77"/>
      <c r="G96" s="77"/>
      <c r="H96" s="77">
        <v>2</v>
      </c>
      <c r="I96" s="77"/>
      <c r="J96" s="77">
        <v>-2</v>
      </c>
      <c r="K96" s="77">
        <v>2</v>
      </c>
      <c r="L96" s="77"/>
      <c r="M96" s="77"/>
      <c r="N96" s="77"/>
      <c r="O96" s="77"/>
      <c r="P96" s="77"/>
      <c r="Q96" s="77"/>
      <c r="R96" s="77">
        <v>12</v>
      </c>
      <c r="S96" s="77">
        <v>6</v>
      </c>
      <c r="T96" s="77">
        <v>1</v>
      </c>
      <c r="U96" s="77">
        <v>55</v>
      </c>
      <c r="V96" s="12">
        <f t="shared" si="5"/>
        <v>4</v>
      </c>
      <c r="W96" s="12"/>
      <c r="X96" s="77" t="str">
        <f>Taulukko1[[#This Row],[Main Race]]</f>
        <v>Talatherim</v>
      </c>
      <c r="Z96" s="12" t="s">
        <v>947</v>
      </c>
      <c r="AA96" s="12">
        <v>6543</v>
      </c>
      <c r="AB96" s="12">
        <v>6543</v>
      </c>
      <c r="AC96" s="12">
        <v>7654</v>
      </c>
      <c r="AD96" s="12">
        <v>6543</v>
      </c>
      <c r="AE96" s="12">
        <v>6543</v>
      </c>
      <c r="AF96" s="12">
        <v>6543</v>
      </c>
      <c r="AG96" s="12">
        <v>6543</v>
      </c>
      <c r="AH96" s="12">
        <v>6421</v>
      </c>
      <c r="AJ96" s="12"/>
      <c r="AK96" s="12"/>
      <c r="AL96" s="12" t="s">
        <v>433</v>
      </c>
      <c r="AM96" s="12" t="s">
        <v>1321</v>
      </c>
      <c r="AN96" s="12" t="s">
        <v>1321</v>
      </c>
      <c r="AO96" s="12" t="s">
        <v>1321</v>
      </c>
      <c r="AP96" s="12" t="s">
        <v>1124</v>
      </c>
      <c r="AQ96" s="12"/>
      <c r="AR96" s="12" t="s">
        <v>587</v>
      </c>
      <c r="AS96" s="12" t="s">
        <v>403</v>
      </c>
      <c r="AT96" s="12" t="s">
        <v>1311</v>
      </c>
      <c r="AU96" s="12" t="s">
        <v>468</v>
      </c>
      <c r="AV96" s="12" t="s">
        <v>1108</v>
      </c>
      <c r="AW96" s="12" t="s">
        <v>4200</v>
      </c>
      <c r="AX96" s="12"/>
      <c r="AY96" s="12" t="s">
        <v>4199</v>
      </c>
      <c r="AZ96" s="12" t="s">
        <v>1342</v>
      </c>
      <c r="BA96" s="12" t="s">
        <v>1311</v>
      </c>
      <c r="BB96" s="12" t="s">
        <v>1279</v>
      </c>
      <c r="BC96" s="12"/>
      <c r="BD96" s="12" t="s">
        <v>1108</v>
      </c>
      <c r="BE96" s="12" t="s">
        <v>597</v>
      </c>
      <c r="BF96" s="12" t="s">
        <v>652</v>
      </c>
      <c r="BG96" s="12"/>
      <c r="BH96" s="12"/>
      <c r="BI96" s="12" t="s">
        <v>587</v>
      </c>
      <c r="BJ96" s="12"/>
      <c r="BK96" s="12" t="s">
        <v>547</v>
      </c>
      <c r="BL96" s="12"/>
      <c r="BM96" s="12" t="s">
        <v>410</v>
      </c>
      <c r="BN96" s="12" t="s">
        <v>1338</v>
      </c>
      <c r="BO96" s="12" t="s">
        <v>534</v>
      </c>
      <c r="BP96" s="12"/>
      <c r="BQ96" s="12" t="s">
        <v>652</v>
      </c>
      <c r="BR96" s="12"/>
      <c r="BS96" s="12" t="s">
        <v>1327</v>
      </c>
      <c r="BT96" s="12" t="s">
        <v>652</v>
      </c>
      <c r="BU96" s="12" t="s">
        <v>430</v>
      </c>
      <c r="BV96" s="12"/>
      <c r="BW96" s="67" t="s">
        <v>401</v>
      </c>
      <c r="BX96" s="67" t="s">
        <v>401</v>
      </c>
      <c r="BY96" s="67"/>
      <c r="BZ96" s="67" t="s">
        <v>652</v>
      </c>
      <c r="CA96" s="67" t="s">
        <v>652</v>
      </c>
      <c r="CB96" s="67" t="s">
        <v>587</v>
      </c>
      <c r="CC96" s="67" t="s">
        <v>652</v>
      </c>
      <c r="CD96" s="67" t="s">
        <v>547</v>
      </c>
      <c r="CE96" s="67" t="s">
        <v>547</v>
      </c>
      <c r="CF96" s="67" t="s">
        <v>547</v>
      </c>
      <c r="CG96" s="67" t="s">
        <v>652</v>
      </c>
      <c r="CH96" s="67" t="s">
        <v>652</v>
      </c>
      <c r="CI96" s="67" t="s">
        <v>652</v>
      </c>
      <c r="CJ96" s="67" t="s">
        <v>1321</v>
      </c>
      <c r="CK96" s="67" t="s">
        <v>468</v>
      </c>
      <c r="CL96" s="67" t="s">
        <v>1311</v>
      </c>
      <c r="CM96" s="67" t="s">
        <v>1108</v>
      </c>
      <c r="CN96" s="67" t="s">
        <v>403</v>
      </c>
      <c r="CO96" s="67" t="s">
        <v>587</v>
      </c>
      <c r="CP96" s="67" t="s">
        <v>1108</v>
      </c>
      <c r="CQ96" s="67" t="s">
        <v>587</v>
      </c>
      <c r="CR96" s="67" t="s">
        <v>517</v>
      </c>
      <c r="CS96" s="67" t="s">
        <v>1156</v>
      </c>
      <c r="CT96" s="67" t="s">
        <v>1156</v>
      </c>
      <c r="CU96" s="67" t="s">
        <v>536</v>
      </c>
      <c r="CV96" s="67" t="s">
        <v>1156</v>
      </c>
      <c r="CW96" s="67" t="s">
        <v>433</v>
      </c>
      <c r="CX96" s="67" t="s">
        <v>658</v>
      </c>
      <c r="CY96" s="67" t="s">
        <v>1156</v>
      </c>
      <c r="CZ96" s="67" t="s">
        <v>431</v>
      </c>
      <c r="DA96" s="67" t="s">
        <v>431</v>
      </c>
      <c r="DB96" s="67" t="s">
        <v>1311</v>
      </c>
      <c r="DC96" s="67" t="s">
        <v>1311</v>
      </c>
      <c r="DD96" s="67" t="s">
        <v>1311</v>
      </c>
      <c r="DE96" s="67" t="s">
        <v>1108</v>
      </c>
      <c r="DF96" s="67" t="s">
        <v>1276</v>
      </c>
      <c r="DG96" s="67" t="s">
        <v>1276</v>
      </c>
      <c r="DH96" s="67" t="s">
        <v>597</v>
      </c>
      <c r="DI96" s="67" t="s">
        <v>468</v>
      </c>
      <c r="DJ96" s="67" t="s">
        <v>505</v>
      </c>
      <c r="DK96" s="67" t="s">
        <v>587</v>
      </c>
      <c r="DL96" s="67" t="s">
        <v>505</v>
      </c>
      <c r="DM96" s="67" t="s">
        <v>587</v>
      </c>
      <c r="DN96" s="67" t="s">
        <v>587</v>
      </c>
      <c r="DO96" s="67" t="s">
        <v>587</v>
      </c>
      <c r="DP96" s="67" t="s">
        <v>505</v>
      </c>
      <c r="DQ96" s="67" t="s">
        <v>587</v>
      </c>
      <c r="DR96" s="67"/>
      <c r="DS96" s="67"/>
      <c r="DT96" s="67"/>
      <c r="DU96" s="67" t="s">
        <v>1116</v>
      </c>
      <c r="DV96" s="67" t="s">
        <v>433</v>
      </c>
      <c r="DW96" s="67" t="s">
        <v>430</v>
      </c>
      <c r="DX96" s="67" t="s">
        <v>1115</v>
      </c>
      <c r="DY96" s="67" t="s">
        <v>468</v>
      </c>
      <c r="DZ96" s="67" t="s">
        <v>5508</v>
      </c>
      <c r="EA96" s="67"/>
      <c r="EB96" s="67" t="s">
        <v>535</v>
      </c>
      <c r="EC96" s="67"/>
      <c r="ED96" s="67"/>
      <c r="EE96" s="67"/>
      <c r="EF96" s="67"/>
      <c r="EG96" s="67"/>
      <c r="EH96" s="67">
        <v>25</v>
      </c>
      <c r="EM96" t="s">
        <v>5526</v>
      </c>
      <c r="EN96" s="369" t="s">
        <v>450</v>
      </c>
    </row>
    <row r="97" spans="1:144" x14ac:dyDescent="0.2">
      <c r="A97" s="77" t="s">
        <v>3942</v>
      </c>
      <c r="B97" s="77" t="s">
        <v>4049</v>
      </c>
      <c r="C97" s="77"/>
      <c r="D97" s="77">
        <v>4</v>
      </c>
      <c r="E97" s="77">
        <v>-5</v>
      </c>
      <c r="F97" s="77"/>
      <c r="G97" s="77"/>
      <c r="H97" s="77"/>
      <c r="I97" s="77">
        <v>4</v>
      </c>
      <c r="J97" s="77"/>
      <c r="K97" s="77"/>
      <c r="L97" s="77">
        <v>4</v>
      </c>
      <c r="M97" s="77"/>
      <c r="N97" s="77"/>
      <c r="O97" s="77"/>
      <c r="P97" s="77">
        <v>10</v>
      </c>
      <c r="Q97" s="77">
        <v>100</v>
      </c>
      <c r="R97" s="77">
        <v>1</v>
      </c>
      <c r="S97" s="77">
        <v>2</v>
      </c>
      <c r="T97" s="77">
        <v>1.5</v>
      </c>
      <c r="U97" s="77">
        <v>25</v>
      </c>
      <c r="V97" s="12">
        <f t="shared" si="5"/>
        <v>7</v>
      </c>
      <c r="W97" s="12"/>
      <c r="X97" s="77" t="str">
        <f>Taulukko1[[#This Row],[Main Race]]</f>
        <v>Elf</v>
      </c>
      <c r="Z97" s="12" t="s">
        <v>4049</v>
      </c>
      <c r="AA97" s="12">
        <v>6543</v>
      </c>
      <c r="AB97" s="12">
        <v>6543</v>
      </c>
      <c r="AC97" s="12">
        <v>6543</v>
      </c>
      <c r="AD97" s="12">
        <v>6543</v>
      </c>
      <c r="AE97" s="12">
        <v>6543</v>
      </c>
      <c r="AF97" s="12">
        <v>6543</v>
      </c>
      <c r="AG97" s="12">
        <v>6543</v>
      </c>
      <c r="AH97" s="12">
        <v>7321</v>
      </c>
      <c r="AJ97" s="12"/>
      <c r="AK97" s="12"/>
      <c r="AL97" s="12" t="s">
        <v>1321</v>
      </c>
      <c r="AM97" s="12" t="s">
        <v>4199</v>
      </c>
      <c r="AN97" s="12" t="s">
        <v>1112</v>
      </c>
      <c r="AO97" s="12" t="s">
        <v>1112</v>
      </c>
      <c r="AP97" s="12" t="s">
        <v>1321</v>
      </c>
      <c r="AQ97" s="12"/>
      <c r="AR97" s="12" t="s">
        <v>1311</v>
      </c>
      <c r="AS97" s="12" t="s">
        <v>663</v>
      </c>
      <c r="AT97" s="12" t="s">
        <v>403</v>
      </c>
      <c r="AU97" s="12" t="s">
        <v>1109</v>
      </c>
      <c r="AV97" s="12" t="s">
        <v>631</v>
      </c>
      <c r="AW97" s="12"/>
      <c r="AX97" s="12"/>
      <c r="AY97" s="12"/>
      <c r="AZ97" s="12" t="s">
        <v>1345</v>
      </c>
      <c r="BA97" s="12" t="s">
        <v>452</v>
      </c>
      <c r="BB97" s="12" t="s">
        <v>1331</v>
      </c>
      <c r="BC97" s="12"/>
      <c r="BD97" s="12" t="s">
        <v>532</v>
      </c>
      <c r="BE97" s="12" t="s">
        <v>1121</v>
      </c>
      <c r="BF97" s="12" t="s">
        <v>1109</v>
      </c>
      <c r="BG97" s="12"/>
      <c r="BH97" s="12"/>
      <c r="BI97" s="12" t="s">
        <v>403</v>
      </c>
      <c r="BJ97" s="12"/>
      <c r="BK97" s="12" t="s">
        <v>587</v>
      </c>
      <c r="BL97" s="12"/>
      <c r="BM97" s="12" t="s">
        <v>652</v>
      </c>
      <c r="BN97" s="12" t="s">
        <v>658</v>
      </c>
      <c r="BO97" s="12" t="s">
        <v>587</v>
      </c>
      <c r="BP97" s="12"/>
      <c r="BQ97" s="12" t="s">
        <v>1109</v>
      </c>
      <c r="BR97" s="12"/>
      <c r="BS97" s="12" t="s">
        <v>1121</v>
      </c>
      <c r="BT97" s="12" t="s">
        <v>1109</v>
      </c>
      <c r="BU97" s="12" t="s">
        <v>431</v>
      </c>
      <c r="BV97" s="12"/>
      <c r="BW97" s="67" t="s">
        <v>534</v>
      </c>
      <c r="BX97" s="67" t="s">
        <v>534</v>
      </c>
      <c r="BY97" s="67"/>
      <c r="BZ97" s="67" t="s">
        <v>1109</v>
      </c>
      <c r="CA97" s="67" t="s">
        <v>1109</v>
      </c>
      <c r="CB97" s="67" t="s">
        <v>517</v>
      </c>
      <c r="CC97" s="67" t="s">
        <v>1109</v>
      </c>
      <c r="CD97" s="67" t="s">
        <v>587</v>
      </c>
      <c r="CE97" s="67" t="s">
        <v>587</v>
      </c>
      <c r="CF97" s="67" t="s">
        <v>587</v>
      </c>
      <c r="CG97" s="67" t="s">
        <v>1109</v>
      </c>
      <c r="CH97" s="67" t="s">
        <v>1109</v>
      </c>
      <c r="CI97" s="67" t="s">
        <v>1109</v>
      </c>
      <c r="CJ97" s="67" t="s">
        <v>1112</v>
      </c>
      <c r="CK97" s="67" t="s">
        <v>1109</v>
      </c>
      <c r="CL97" s="67" t="s">
        <v>403</v>
      </c>
      <c r="CM97" s="67" t="s">
        <v>631</v>
      </c>
      <c r="CN97" s="67" t="s">
        <v>1314</v>
      </c>
      <c r="CO97" s="67" t="s">
        <v>1311</v>
      </c>
      <c r="CP97" s="67" t="s">
        <v>532</v>
      </c>
      <c r="CQ97" s="67" t="s">
        <v>505</v>
      </c>
      <c r="CR97" s="67" t="s">
        <v>429</v>
      </c>
      <c r="CS97" s="67" t="s">
        <v>597</v>
      </c>
      <c r="CT97" s="67" t="s">
        <v>597</v>
      </c>
      <c r="CU97" s="67" t="s">
        <v>1156</v>
      </c>
      <c r="CV97" s="67" t="s">
        <v>597</v>
      </c>
      <c r="CW97" s="67" t="s">
        <v>536</v>
      </c>
      <c r="CX97" s="67" t="s">
        <v>433</v>
      </c>
      <c r="CY97" s="67" t="s">
        <v>597</v>
      </c>
      <c r="CZ97" s="67" t="s">
        <v>418</v>
      </c>
      <c r="DA97" s="67" t="s">
        <v>418</v>
      </c>
      <c r="DB97" s="67" t="s">
        <v>452</v>
      </c>
      <c r="DC97" s="67" t="s">
        <v>452</v>
      </c>
      <c r="DD97" s="67" t="s">
        <v>452</v>
      </c>
      <c r="DE97" s="67" t="s">
        <v>1277</v>
      </c>
      <c r="DF97" s="67" t="s">
        <v>505</v>
      </c>
      <c r="DG97" s="67" t="s">
        <v>505</v>
      </c>
      <c r="DH97" s="67" t="s">
        <v>599</v>
      </c>
      <c r="DI97" s="67" t="s">
        <v>1322</v>
      </c>
      <c r="DJ97" s="67" t="s">
        <v>1282</v>
      </c>
      <c r="DK97" s="67" t="s">
        <v>505</v>
      </c>
      <c r="DL97" s="67" t="s">
        <v>1282</v>
      </c>
      <c r="DM97" s="67" t="s">
        <v>505</v>
      </c>
      <c r="DN97" s="67" t="s">
        <v>505</v>
      </c>
      <c r="DO97" s="67" t="s">
        <v>505</v>
      </c>
      <c r="DP97" s="67" t="s">
        <v>1282</v>
      </c>
      <c r="DQ97" s="67" t="s">
        <v>505</v>
      </c>
      <c r="DR97" s="67"/>
      <c r="DS97" s="67"/>
      <c r="DT97" s="67"/>
      <c r="DU97" s="67" t="s">
        <v>404</v>
      </c>
      <c r="DV97" s="67" t="s">
        <v>404</v>
      </c>
      <c r="DW97" s="67" t="s">
        <v>431</v>
      </c>
      <c r="DX97" s="67" t="s">
        <v>5497</v>
      </c>
      <c r="DY97" s="67" t="s">
        <v>652</v>
      </c>
      <c r="DZ97" s="67" t="s">
        <v>472</v>
      </c>
      <c r="EA97" s="67"/>
      <c r="EB97" s="67" t="s">
        <v>505</v>
      </c>
      <c r="EC97" s="67"/>
      <c r="ED97" s="67"/>
      <c r="EE97" s="67"/>
      <c r="EF97" s="67"/>
      <c r="EG97" s="67"/>
      <c r="EH97" s="67">
        <v>26</v>
      </c>
      <c r="EM97" t="s">
        <v>5526</v>
      </c>
      <c r="EN97" s="368" t="s">
        <v>547</v>
      </c>
    </row>
    <row r="98" spans="1:144" x14ac:dyDescent="0.2">
      <c r="A98" s="77" t="s">
        <v>917</v>
      </c>
      <c r="B98" s="77" t="s">
        <v>890</v>
      </c>
      <c r="C98" s="77">
        <v>4</v>
      </c>
      <c r="D98" s="77"/>
      <c r="E98" s="77"/>
      <c r="F98" s="77"/>
      <c r="G98" s="77"/>
      <c r="H98" s="77">
        <v>4</v>
      </c>
      <c r="I98" s="77"/>
      <c r="J98" s="77">
        <v>2</v>
      </c>
      <c r="K98" s="77"/>
      <c r="L98" s="77"/>
      <c r="M98" s="77"/>
      <c r="N98" s="77"/>
      <c r="O98" s="77"/>
      <c r="P98" s="77">
        <v>5</v>
      </c>
      <c r="Q98" s="77">
        <v>15</v>
      </c>
      <c r="R98" s="77">
        <v>10</v>
      </c>
      <c r="S98" s="77">
        <v>4</v>
      </c>
      <c r="T98" s="77">
        <v>0.75</v>
      </c>
      <c r="U98" s="77">
        <f>S98*10</f>
        <v>40</v>
      </c>
      <c r="V98" s="12">
        <f t="shared" si="5"/>
        <v>10</v>
      </c>
      <c r="W98" s="12"/>
      <c r="X98" s="77" t="str">
        <f>Taulukko1[[#This Row],[Main Race]]</f>
        <v>High Man</v>
      </c>
      <c r="Z98" s="12" t="s">
        <v>890</v>
      </c>
      <c r="AA98" s="12">
        <v>6543</v>
      </c>
      <c r="AB98" s="12">
        <v>6543</v>
      </c>
      <c r="AC98" s="12">
        <v>7654</v>
      </c>
      <c r="AD98" s="12">
        <v>6453</v>
      </c>
      <c r="AE98" s="12">
        <v>6543</v>
      </c>
      <c r="AF98" s="12">
        <v>6543</v>
      </c>
      <c r="AG98" s="12">
        <v>6543</v>
      </c>
      <c r="AH98" s="12">
        <v>7531</v>
      </c>
      <c r="AJ98" s="12"/>
      <c r="AK98" s="12"/>
      <c r="AL98" s="12" t="s">
        <v>4199</v>
      </c>
      <c r="AM98" s="12" t="s">
        <v>4256</v>
      </c>
      <c r="AN98" s="69" t="s">
        <v>4191</v>
      </c>
      <c r="AO98" s="12" t="s">
        <v>4202</v>
      </c>
      <c r="AP98" s="12" t="s">
        <v>1112</v>
      </c>
      <c r="AQ98" s="12"/>
      <c r="AR98" s="12" t="s">
        <v>403</v>
      </c>
      <c r="AS98" s="12" t="s">
        <v>658</v>
      </c>
      <c r="AT98" s="12" t="s">
        <v>1279</v>
      </c>
      <c r="AU98" s="12" t="s">
        <v>450</v>
      </c>
      <c r="AV98" s="12" t="s">
        <v>468</v>
      </c>
      <c r="AW98" s="12"/>
      <c r="AX98" s="12"/>
      <c r="AY98" s="12"/>
      <c r="AZ98" s="12" t="s">
        <v>1346</v>
      </c>
      <c r="BA98" s="12" t="s">
        <v>658</v>
      </c>
      <c r="BB98" s="12" t="s">
        <v>404</v>
      </c>
      <c r="BC98" s="12"/>
      <c r="BD98" s="12" t="s">
        <v>1115</v>
      </c>
      <c r="BE98" s="12" t="s">
        <v>4144</v>
      </c>
      <c r="BF98" s="12" t="s">
        <v>534</v>
      </c>
      <c r="BG98" s="12"/>
      <c r="BH98" s="12"/>
      <c r="BI98" s="12" t="s">
        <v>431</v>
      </c>
      <c r="BJ98" s="12"/>
      <c r="BK98" s="12" t="s">
        <v>517</v>
      </c>
      <c r="BL98" s="12"/>
      <c r="BM98" s="12" t="s">
        <v>1109</v>
      </c>
      <c r="BN98" s="12" t="s">
        <v>1357</v>
      </c>
      <c r="BO98" s="12" t="s">
        <v>414</v>
      </c>
      <c r="BP98" s="12"/>
      <c r="BQ98" s="12" t="s">
        <v>534</v>
      </c>
      <c r="BR98" s="12"/>
      <c r="BS98" s="12" t="s">
        <v>1108</v>
      </c>
      <c r="BT98" s="12" t="s">
        <v>534</v>
      </c>
      <c r="BU98" s="12" t="s">
        <v>658</v>
      </c>
      <c r="BV98" s="12"/>
      <c r="BW98" s="67" t="s">
        <v>1306</v>
      </c>
      <c r="BX98" s="67" t="s">
        <v>1306</v>
      </c>
      <c r="BY98" s="67"/>
      <c r="BZ98" s="67" t="s">
        <v>534</v>
      </c>
      <c r="CA98" s="67" t="s">
        <v>534</v>
      </c>
      <c r="CB98" s="67" t="s">
        <v>1311</v>
      </c>
      <c r="CC98" s="67" t="s">
        <v>534</v>
      </c>
      <c r="CD98" s="67" t="s">
        <v>517</v>
      </c>
      <c r="CE98" s="67" t="s">
        <v>517</v>
      </c>
      <c r="CF98" s="67" t="s">
        <v>517</v>
      </c>
      <c r="CG98" s="67" t="s">
        <v>534</v>
      </c>
      <c r="CH98" s="67" t="s">
        <v>534</v>
      </c>
      <c r="CI98" s="67" t="s">
        <v>534</v>
      </c>
      <c r="CJ98" s="67"/>
      <c r="CK98" s="67" t="s">
        <v>5490</v>
      </c>
      <c r="CL98" s="67" t="s">
        <v>1282</v>
      </c>
      <c r="CM98" s="67" t="s">
        <v>468</v>
      </c>
      <c r="CN98" s="67" t="s">
        <v>1323</v>
      </c>
      <c r="CO98" s="67" t="s">
        <v>403</v>
      </c>
      <c r="CP98" s="67" t="s">
        <v>1115</v>
      </c>
      <c r="CQ98" s="67" t="s">
        <v>1324</v>
      </c>
      <c r="CR98" s="67" t="s">
        <v>414</v>
      </c>
      <c r="CS98" s="67" t="s">
        <v>1121</v>
      </c>
      <c r="CT98" s="67" t="s">
        <v>1121</v>
      </c>
      <c r="CU98" s="67" t="s">
        <v>597</v>
      </c>
      <c r="CV98" s="67" t="s">
        <v>1121</v>
      </c>
      <c r="CW98" s="67" t="s">
        <v>1156</v>
      </c>
      <c r="CX98" s="67" t="s">
        <v>404</v>
      </c>
      <c r="CY98" s="67" t="s">
        <v>1121</v>
      </c>
      <c r="CZ98" s="67" t="s">
        <v>1303</v>
      </c>
      <c r="DA98" s="67" t="s">
        <v>1303</v>
      </c>
      <c r="DB98" s="67" t="s">
        <v>658</v>
      </c>
      <c r="DC98" s="67" t="s">
        <v>658</v>
      </c>
      <c r="DD98" s="67" t="s">
        <v>658</v>
      </c>
      <c r="DE98" s="67" t="s">
        <v>511</v>
      </c>
      <c r="DF98" s="67" t="s">
        <v>1325</v>
      </c>
      <c r="DG98" s="67" t="s">
        <v>453</v>
      </c>
      <c r="DH98" s="67" t="s">
        <v>1276</v>
      </c>
      <c r="DI98" s="67" t="s">
        <v>1326</v>
      </c>
      <c r="DJ98" s="67" t="s">
        <v>658</v>
      </c>
      <c r="DK98" s="67" t="s">
        <v>1282</v>
      </c>
      <c r="DL98" s="67" t="s">
        <v>658</v>
      </c>
      <c r="DM98" s="67" t="s">
        <v>1282</v>
      </c>
      <c r="DN98" s="67" t="s">
        <v>1282</v>
      </c>
      <c r="DO98" s="67" t="s">
        <v>1282</v>
      </c>
      <c r="DP98" s="67" t="s">
        <v>658</v>
      </c>
      <c r="DQ98" s="67" t="s">
        <v>1282</v>
      </c>
      <c r="DR98" s="67"/>
      <c r="DS98" s="67"/>
      <c r="DT98" s="67"/>
      <c r="DU98" s="67" t="s">
        <v>472</v>
      </c>
      <c r="DV98" s="67" t="s">
        <v>1327</v>
      </c>
      <c r="DW98" s="67" t="s">
        <v>658</v>
      </c>
      <c r="DX98" s="67" t="s">
        <v>652</v>
      </c>
      <c r="DY98" s="67" t="s">
        <v>450</v>
      </c>
      <c r="DZ98" s="67"/>
      <c r="EA98" s="67"/>
      <c r="EB98" s="67" t="s">
        <v>431</v>
      </c>
      <c r="EC98" s="67"/>
      <c r="ED98" s="67"/>
      <c r="EE98" s="67"/>
      <c r="EF98" s="67"/>
      <c r="EG98" s="67"/>
      <c r="EH98" s="67">
        <v>27</v>
      </c>
      <c r="EM98" t="s">
        <v>5526</v>
      </c>
      <c r="EN98" s="369" t="s">
        <v>587</v>
      </c>
    </row>
    <row r="99" spans="1:144" x14ac:dyDescent="0.2">
      <c r="A99" s="77" t="s">
        <v>3942</v>
      </c>
      <c r="B99" s="77" t="s">
        <v>4042</v>
      </c>
      <c r="C99" s="77"/>
      <c r="D99" s="77">
        <v>4</v>
      </c>
      <c r="E99" s="77">
        <v>-5</v>
      </c>
      <c r="F99" s="77">
        <v>2</v>
      </c>
      <c r="G99" s="77"/>
      <c r="H99" s="77"/>
      <c r="I99" s="77">
        <v>2</v>
      </c>
      <c r="J99" s="77">
        <v>2</v>
      </c>
      <c r="K99" s="77">
        <v>2</v>
      </c>
      <c r="L99" s="77">
        <v>2</v>
      </c>
      <c r="M99" s="77"/>
      <c r="N99" s="77"/>
      <c r="O99" s="77"/>
      <c r="P99" s="77">
        <v>10</v>
      </c>
      <c r="Q99" s="77">
        <v>100</v>
      </c>
      <c r="R99" s="77">
        <v>1</v>
      </c>
      <c r="S99" s="77">
        <v>2</v>
      </c>
      <c r="T99" s="77">
        <v>1.5</v>
      </c>
      <c r="U99" s="77">
        <v>20</v>
      </c>
      <c r="V99" s="12">
        <f t="shared" si="5"/>
        <v>9</v>
      </c>
      <c r="W99" s="12"/>
      <c r="X99" s="77" t="str">
        <f>Taulukko1[[#This Row],[Main Race]]</f>
        <v>Elf</v>
      </c>
      <c r="Z99" s="77" t="s">
        <v>4042</v>
      </c>
      <c r="AA99" s="12">
        <v>7654</v>
      </c>
      <c r="AB99" s="12">
        <v>6543</v>
      </c>
      <c r="AC99" s="12">
        <v>6543</v>
      </c>
      <c r="AD99" s="12">
        <v>6543</v>
      </c>
      <c r="AE99" s="12">
        <v>6543</v>
      </c>
      <c r="AF99" s="12">
        <v>6543</v>
      </c>
      <c r="AG99" s="12">
        <v>6543</v>
      </c>
      <c r="AH99" s="12">
        <v>6311</v>
      </c>
      <c r="AJ99" s="12"/>
      <c r="AK99" s="12"/>
      <c r="AL99" s="12" t="s">
        <v>4203</v>
      </c>
      <c r="AM99" s="12" t="s">
        <v>4257</v>
      </c>
      <c r="AN99" s="12" t="s">
        <v>467</v>
      </c>
      <c r="AO99" s="12" t="s">
        <v>4199</v>
      </c>
      <c r="AP99" s="69" t="s">
        <v>4073</v>
      </c>
      <c r="AQ99" s="12"/>
      <c r="AR99" s="12" t="s">
        <v>431</v>
      </c>
      <c r="AS99" s="12" t="s">
        <v>1279</v>
      </c>
      <c r="AT99" s="12" t="s">
        <v>597</v>
      </c>
      <c r="AU99" s="12" t="s">
        <v>517</v>
      </c>
      <c r="AV99" s="12" t="s">
        <v>1109</v>
      </c>
      <c r="AW99" s="12"/>
      <c r="AX99" s="12"/>
      <c r="AY99" s="12"/>
      <c r="AZ99" s="12" t="s">
        <v>1349</v>
      </c>
      <c r="BA99" s="12" t="s">
        <v>1279</v>
      </c>
      <c r="BB99" s="12" t="s">
        <v>472</v>
      </c>
      <c r="BC99" s="12"/>
      <c r="BD99" s="12" t="s">
        <v>1328</v>
      </c>
      <c r="BE99" s="12" t="s">
        <v>4145</v>
      </c>
      <c r="BF99" s="12" t="s">
        <v>602</v>
      </c>
      <c r="BG99" s="12"/>
      <c r="BH99" s="12"/>
      <c r="BI99" s="12" t="s">
        <v>658</v>
      </c>
      <c r="BJ99" s="12"/>
      <c r="BK99" s="12" t="s">
        <v>414</v>
      </c>
      <c r="BL99" s="12"/>
      <c r="BM99" s="12" t="s">
        <v>534</v>
      </c>
      <c r="BN99" s="12" t="s">
        <v>597</v>
      </c>
      <c r="BO99" s="12" t="s">
        <v>535</v>
      </c>
      <c r="BP99" s="12"/>
      <c r="BQ99" s="12" t="s">
        <v>602</v>
      </c>
      <c r="BR99" s="12"/>
      <c r="BS99" s="12" t="s">
        <v>1337</v>
      </c>
      <c r="BT99" s="12" t="s">
        <v>602</v>
      </c>
      <c r="BU99" s="12" t="s">
        <v>1332</v>
      </c>
      <c r="BV99" s="12"/>
      <c r="BW99" s="67" t="s">
        <v>587</v>
      </c>
      <c r="BX99" s="67" t="s">
        <v>587</v>
      </c>
      <c r="BY99" s="67"/>
      <c r="BZ99" s="67" t="s">
        <v>602</v>
      </c>
      <c r="CA99" s="67" t="s">
        <v>602</v>
      </c>
      <c r="CB99" s="67" t="s">
        <v>403</v>
      </c>
      <c r="CC99" s="67" t="s">
        <v>602</v>
      </c>
      <c r="CD99" s="67" t="s">
        <v>414</v>
      </c>
      <c r="CE99" s="67" t="s">
        <v>414</v>
      </c>
      <c r="CF99" s="67" t="s">
        <v>414</v>
      </c>
      <c r="CG99" s="67" t="s">
        <v>602</v>
      </c>
      <c r="CH99" s="67" t="s">
        <v>602</v>
      </c>
      <c r="CI99" s="67" t="s">
        <v>602</v>
      </c>
      <c r="CJ99" s="67"/>
      <c r="CK99" s="67" t="s">
        <v>547</v>
      </c>
      <c r="CL99" s="67" t="s">
        <v>1279</v>
      </c>
      <c r="CM99" s="67" t="s">
        <v>1109</v>
      </c>
      <c r="CN99" s="67" t="s">
        <v>658</v>
      </c>
      <c r="CO99" s="67" t="s">
        <v>452</v>
      </c>
      <c r="CP99" s="67" t="s">
        <v>1328</v>
      </c>
      <c r="CQ99" s="67" t="s">
        <v>658</v>
      </c>
      <c r="CR99" s="67" t="s">
        <v>535</v>
      </c>
      <c r="CS99" s="67"/>
      <c r="CT99" s="67"/>
      <c r="CU99" s="67" t="s">
        <v>1121</v>
      </c>
      <c r="CV99" s="67"/>
      <c r="CW99" s="67" t="s">
        <v>597</v>
      </c>
      <c r="CX99" s="67" t="s">
        <v>1329</v>
      </c>
      <c r="CY99" s="67"/>
      <c r="CZ99" s="67" t="s">
        <v>1115</v>
      </c>
      <c r="DA99" s="67" t="s">
        <v>1115</v>
      </c>
      <c r="DB99" s="67" t="s">
        <v>1279</v>
      </c>
      <c r="DC99" s="67" t="s">
        <v>1279</v>
      </c>
      <c r="DD99" s="67" t="s">
        <v>1279</v>
      </c>
      <c r="DE99" s="67" t="s">
        <v>1273</v>
      </c>
      <c r="DF99" s="67" t="s">
        <v>453</v>
      </c>
      <c r="DG99" s="67" t="s">
        <v>452</v>
      </c>
      <c r="DH99" s="67" t="s">
        <v>656</v>
      </c>
      <c r="DI99" s="67" t="s">
        <v>587</v>
      </c>
      <c r="DJ99" s="67" t="s">
        <v>1279</v>
      </c>
      <c r="DK99" s="67" t="s">
        <v>658</v>
      </c>
      <c r="DL99" s="67" t="s">
        <v>1279</v>
      </c>
      <c r="DM99" s="67" t="s">
        <v>658</v>
      </c>
      <c r="DN99" s="67" t="s">
        <v>658</v>
      </c>
      <c r="DO99" s="67" t="s">
        <v>658</v>
      </c>
      <c r="DP99" s="67" t="s">
        <v>1279</v>
      </c>
      <c r="DQ99" s="67" t="s">
        <v>658</v>
      </c>
      <c r="DR99" s="67"/>
      <c r="DS99" s="67"/>
      <c r="DT99" s="67"/>
      <c r="DU99" s="67" t="s">
        <v>1112</v>
      </c>
      <c r="DV99" s="67" t="s">
        <v>597</v>
      </c>
      <c r="DW99" s="67" t="s">
        <v>1321</v>
      </c>
      <c r="DX99" s="67" t="s">
        <v>1302</v>
      </c>
      <c r="DY99" s="67" t="s">
        <v>547</v>
      </c>
      <c r="DZ99" s="67"/>
      <c r="EA99" s="67"/>
      <c r="EB99" s="67" t="s">
        <v>658</v>
      </c>
      <c r="EC99" s="67"/>
      <c r="ED99" s="67"/>
      <c r="EE99" s="67"/>
      <c r="EF99" s="67"/>
      <c r="EG99" s="67"/>
      <c r="EH99" s="67">
        <v>28</v>
      </c>
      <c r="EM99" t="s">
        <v>5526</v>
      </c>
      <c r="EN99" s="368" t="s">
        <v>430</v>
      </c>
    </row>
    <row r="100" spans="1:144" x14ac:dyDescent="0.2">
      <c r="A100" s="77" t="s">
        <v>992</v>
      </c>
      <c r="B100" s="77" t="s">
        <v>963</v>
      </c>
      <c r="C100" s="77">
        <v>6</v>
      </c>
      <c r="D100" s="77">
        <v>-4</v>
      </c>
      <c r="E100" s="77">
        <v>-4</v>
      </c>
      <c r="F100" s="77">
        <v>-4</v>
      </c>
      <c r="G100" s="77">
        <v>-6</v>
      </c>
      <c r="H100" s="77">
        <v>6</v>
      </c>
      <c r="I100" s="77">
        <v>-4</v>
      </c>
      <c r="J100" s="77">
        <v>-4</v>
      </c>
      <c r="K100" s="77">
        <v>-4</v>
      </c>
      <c r="L100" s="77">
        <v>-6</v>
      </c>
      <c r="M100" s="77"/>
      <c r="N100" s="77"/>
      <c r="O100" s="77"/>
      <c r="P100" s="77">
        <v>30</v>
      </c>
      <c r="Q100" s="77">
        <v>10</v>
      </c>
      <c r="R100" s="77">
        <v>1</v>
      </c>
      <c r="S100" s="77">
        <v>2</v>
      </c>
      <c r="T100" s="77">
        <v>0.5</v>
      </c>
      <c r="U100" s="77">
        <f>S100*10</f>
        <v>20</v>
      </c>
      <c r="V100" s="12">
        <f t="shared" si="5"/>
        <v>-24</v>
      </c>
      <c r="W100" s="12"/>
      <c r="X100" s="77" t="str">
        <f>Taulukko1[[#This Row],[Main Race]]</f>
        <v>Troll</v>
      </c>
      <c r="Z100" s="12" t="s">
        <v>963</v>
      </c>
      <c r="AA100" s="12">
        <v>2111</v>
      </c>
      <c r="AB100" s="12">
        <v>2111</v>
      </c>
      <c r="AC100" s="12">
        <v>2111</v>
      </c>
      <c r="AD100" s="12">
        <v>2111</v>
      </c>
      <c r="AE100" s="12">
        <v>2111</v>
      </c>
      <c r="AF100" s="12">
        <v>2111</v>
      </c>
      <c r="AG100" s="12">
        <v>2111</v>
      </c>
      <c r="AH100" s="12">
        <v>9853</v>
      </c>
      <c r="AJ100" s="12"/>
      <c r="AK100" s="12"/>
      <c r="AL100" s="12" t="s">
        <v>4256</v>
      </c>
      <c r="AM100" s="12" t="s">
        <v>4258</v>
      </c>
      <c r="AN100" s="12" t="s">
        <v>656</v>
      </c>
      <c r="AO100" s="12"/>
      <c r="AP100" s="12" t="s">
        <v>4202</v>
      </c>
      <c r="AQ100" s="12"/>
      <c r="AR100" s="12" t="s">
        <v>658</v>
      </c>
      <c r="AS100" s="12" t="s">
        <v>1333</v>
      </c>
      <c r="AT100" s="12" t="s">
        <v>1207</v>
      </c>
      <c r="AU100" s="12" t="s">
        <v>505</v>
      </c>
      <c r="AV100" s="12" t="s">
        <v>450</v>
      </c>
      <c r="AW100" s="12"/>
      <c r="AX100" s="12"/>
      <c r="AY100" s="12"/>
      <c r="AZ100" s="12" t="s">
        <v>1350</v>
      </c>
      <c r="BA100" s="12" t="s">
        <v>1331</v>
      </c>
      <c r="BB100" s="12" t="s">
        <v>597</v>
      </c>
      <c r="BC100" s="12"/>
      <c r="BD100" s="12" t="s">
        <v>491</v>
      </c>
      <c r="BE100" s="12" t="s">
        <v>4146</v>
      </c>
      <c r="BF100" s="12" t="s">
        <v>1306</v>
      </c>
      <c r="BG100" s="12"/>
      <c r="BH100" s="12"/>
      <c r="BI100" s="12" t="s">
        <v>1279</v>
      </c>
      <c r="BJ100" s="12"/>
      <c r="BK100" s="12" t="s">
        <v>505</v>
      </c>
      <c r="BL100" s="12"/>
      <c r="BM100" s="12" t="s">
        <v>602</v>
      </c>
      <c r="BN100" s="12"/>
      <c r="BO100" s="12" t="s">
        <v>1311</v>
      </c>
      <c r="BP100" s="12"/>
      <c r="BQ100" s="12" t="s">
        <v>1306</v>
      </c>
      <c r="BR100" s="12"/>
      <c r="BS100" s="12" t="s">
        <v>1340</v>
      </c>
      <c r="BT100" s="12" t="s">
        <v>1306</v>
      </c>
      <c r="BU100" s="12" t="s">
        <v>472</v>
      </c>
      <c r="BV100" s="12"/>
      <c r="BW100" s="67" t="s">
        <v>430</v>
      </c>
      <c r="BX100" s="67" t="s">
        <v>430</v>
      </c>
      <c r="BY100" s="67"/>
      <c r="BZ100" s="67" t="s">
        <v>1306</v>
      </c>
      <c r="CA100" s="67" t="s">
        <v>1306</v>
      </c>
      <c r="CB100" s="67" t="s">
        <v>452</v>
      </c>
      <c r="CC100" s="67" t="s">
        <v>1306</v>
      </c>
      <c r="CD100" s="67" t="s">
        <v>535</v>
      </c>
      <c r="CE100" s="67" t="s">
        <v>505</v>
      </c>
      <c r="CF100" s="67" t="s">
        <v>505</v>
      </c>
      <c r="CG100" s="67" t="s">
        <v>1306</v>
      </c>
      <c r="CH100" s="67" t="s">
        <v>1306</v>
      </c>
      <c r="CI100" s="67" t="s">
        <v>1306</v>
      </c>
      <c r="CJ100" s="67"/>
      <c r="CK100" s="67" t="s">
        <v>979</v>
      </c>
      <c r="CL100" s="67" t="s">
        <v>597</v>
      </c>
      <c r="CM100" s="67" t="s">
        <v>450</v>
      </c>
      <c r="CN100" s="67" t="s">
        <v>1279</v>
      </c>
      <c r="CO100" s="67" t="s">
        <v>453</v>
      </c>
      <c r="CP100" s="67" t="s">
        <v>491</v>
      </c>
      <c r="CQ100" s="67" t="s">
        <v>433</v>
      </c>
      <c r="CR100" s="67" t="s">
        <v>1311</v>
      </c>
      <c r="CS100" s="67"/>
      <c r="CT100" s="67"/>
      <c r="CU100" s="67"/>
      <c r="CV100" s="67"/>
      <c r="CW100" s="67" t="s">
        <v>1121</v>
      </c>
      <c r="CX100" s="67" t="s">
        <v>472</v>
      </c>
      <c r="CY100" s="67"/>
      <c r="CZ100" s="67" t="s">
        <v>1330</v>
      </c>
      <c r="DA100" s="67" t="s">
        <v>1330</v>
      </c>
      <c r="DB100" s="67" t="s">
        <v>1331</v>
      </c>
      <c r="DC100" s="67" t="s">
        <v>1331</v>
      </c>
      <c r="DD100" s="67" t="s">
        <v>1331</v>
      </c>
      <c r="DE100" s="67" t="s">
        <v>541</v>
      </c>
      <c r="DF100" s="67" t="s">
        <v>452</v>
      </c>
      <c r="DG100" s="67" t="s">
        <v>472</v>
      </c>
      <c r="DH100" s="67" t="s">
        <v>658</v>
      </c>
      <c r="DI100" s="67" t="s">
        <v>403</v>
      </c>
      <c r="DJ100" s="67" t="s">
        <v>1321</v>
      </c>
      <c r="DK100" s="67" t="s">
        <v>1279</v>
      </c>
      <c r="DL100" s="67" t="s">
        <v>1321</v>
      </c>
      <c r="DM100" s="67" t="s">
        <v>1279</v>
      </c>
      <c r="DN100" s="67" t="s">
        <v>1279</v>
      </c>
      <c r="DO100" s="67" t="s">
        <v>1279</v>
      </c>
      <c r="DP100" s="67" t="s">
        <v>1321</v>
      </c>
      <c r="DQ100" s="67" t="s">
        <v>1279</v>
      </c>
      <c r="DR100" s="67"/>
      <c r="DS100" s="67"/>
      <c r="DT100" s="67"/>
      <c r="DU100" s="67" t="s">
        <v>597</v>
      </c>
      <c r="DV100" s="67" t="s">
        <v>1121</v>
      </c>
      <c r="DW100" s="67" t="s">
        <v>1332</v>
      </c>
      <c r="DX100" s="67" t="s">
        <v>450</v>
      </c>
      <c r="DY100" s="67" t="s">
        <v>587</v>
      </c>
      <c r="DZ100" s="67"/>
      <c r="EA100" s="67"/>
      <c r="EB100" s="67" t="s">
        <v>1321</v>
      </c>
      <c r="EC100" s="67"/>
      <c r="ED100" s="67"/>
      <c r="EE100" s="67"/>
      <c r="EF100" s="67"/>
      <c r="EG100" s="67"/>
      <c r="EH100" s="67">
        <v>29</v>
      </c>
      <c r="EN100" s="368" t="s">
        <v>535</v>
      </c>
    </row>
    <row r="101" spans="1:144" x14ac:dyDescent="0.2">
      <c r="A101" s="77" t="s">
        <v>881</v>
      </c>
      <c r="B101" s="77" t="s">
        <v>937</v>
      </c>
      <c r="C101" s="77">
        <v>2</v>
      </c>
      <c r="D101" s="77"/>
      <c r="E101" s="77">
        <v>2</v>
      </c>
      <c r="F101" s="77"/>
      <c r="G101" s="77"/>
      <c r="H101" s="77">
        <v>2</v>
      </c>
      <c r="I101" s="77"/>
      <c r="J101" s="77">
        <v>2</v>
      </c>
      <c r="K101" s="77"/>
      <c r="L101" s="77"/>
      <c r="M101" s="77"/>
      <c r="N101" s="77"/>
      <c r="O101" s="77"/>
      <c r="P101" s="77"/>
      <c r="Q101" s="77"/>
      <c r="R101" s="77">
        <v>11</v>
      </c>
      <c r="S101" s="77">
        <v>5</v>
      </c>
      <c r="T101" s="77">
        <v>0.9</v>
      </c>
      <c r="U101" s="77">
        <v>45</v>
      </c>
      <c r="V101" s="12">
        <f t="shared" si="5"/>
        <v>8</v>
      </c>
      <c r="W101" s="12"/>
      <c r="X101" s="77" t="str">
        <f>Taulukko1[[#This Row],[Main Race]]</f>
        <v>Eriedain</v>
      </c>
      <c r="Z101" s="12" t="s">
        <v>937</v>
      </c>
      <c r="AA101" s="12">
        <v>6543</v>
      </c>
      <c r="AB101" s="12">
        <v>6543</v>
      </c>
      <c r="AC101" s="12">
        <v>7654</v>
      </c>
      <c r="AD101" s="12">
        <v>6543</v>
      </c>
      <c r="AE101" s="12">
        <v>6543</v>
      </c>
      <c r="AF101" s="12">
        <v>6543</v>
      </c>
      <c r="AG101" s="12">
        <v>6543</v>
      </c>
      <c r="AH101" s="12">
        <v>7521</v>
      </c>
      <c r="AJ101" s="12"/>
      <c r="AK101" s="12"/>
      <c r="AL101" s="12" t="s">
        <v>4257</v>
      </c>
      <c r="AM101" s="12"/>
      <c r="AN101" s="12" t="s">
        <v>658</v>
      </c>
      <c r="AO101" s="12"/>
      <c r="AP101" s="12" t="s">
        <v>4199</v>
      </c>
      <c r="AQ101" s="12"/>
      <c r="AR101" s="12" t="s">
        <v>1279</v>
      </c>
      <c r="AS101" s="12" t="s">
        <v>433</v>
      </c>
      <c r="AT101" s="12" t="s">
        <v>4199</v>
      </c>
      <c r="AU101" s="12" t="s">
        <v>403</v>
      </c>
      <c r="AV101" s="12" t="s">
        <v>517</v>
      </c>
      <c r="AW101" s="12"/>
      <c r="AX101" s="12"/>
      <c r="AY101" s="12"/>
      <c r="AZ101" s="69" t="s">
        <v>4078</v>
      </c>
      <c r="BA101" s="12" t="s">
        <v>404</v>
      </c>
      <c r="BB101" s="12" t="s">
        <v>1342</v>
      </c>
      <c r="BC101" s="12"/>
      <c r="BD101" s="12" t="s">
        <v>534</v>
      </c>
      <c r="BE101" s="12"/>
      <c r="BF101" s="12" t="s">
        <v>587</v>
      </c>
      <c r="BG101" s="12"/>
      <c r="BH101" s="12"/>
      <c r="BI101" s="12" t="s">
        <v>433</v>
      </c>
      <c r="BJ101" s="12"/>
      <c r="BK101" s="12" t="s">
        <v>431</v>
      </c>
      <c r="BL101" s="12"/>
      <c r="BM101" s="12" t="s">
        <v>1306</v>
      </c>
      <c r="BN101" s="12"/>
      <c r="BO101" s="12" t="s">
        <v>403</v>
      </c>
      <c r="BP101" s="12"/>
      <c r="BQ101" s="12" t="s">
        <v>587</v>
      </c>
      <c r="BR101" s="12"/>
      <c r="BS101" s="12" t="s">
        <v>1343</v>
      </c>
      <c r="BT101" s="12" t="s">
        <v>587</v>
      </c>
      <c r="BU101" s="12" t="s">
        <v>659</v>
      </c>
      <c r="BV101" s="12"/>
      <c r="BW101" s="67" t="s">
        <v>403</v>
      </c>
      <c r="BX101" s="67" t="s">
        <v>403</v>
      </c>
      <c r="BY101" s="67"/>
      <c r="BZ101" s="67" t="s">
        <v>587</v>
      </c>
      <c r="CA101" s="67" t="s">
        <v>587</v>
      </c>
      <c r="CB101" s="67" t="s">
        <v>453</v>
      </c>
      <c r="CC101" s="67" t="s">
        <v>587</v>
      </c>
      <c r="CD101" s="67" t="s">
        <v>505</v>
      </c>
      <c r="CE101" s="67" t="s">
        <v>1282</v>
      </c>
      <c r="CF101" s="67" t="s">
        <v>1282</v>
      </c>
      <c r="CG101" s="67" t="s">
        <v>587</v>
      </c>
      <c r="CH101" s="67" t="s">
        <v>587</v>
      </c>
      <c r="CI101" s="67" t="s">
        <v>587</v>
      </c>
      <c r="CJ101" s="67"/>
      <c r="CK101" s="67" t="s">
        <v>403</v>
      </c>
      <c r="CL101" s="67" t="s">
        <v>1207</v>
      </c>
      <c r="CM101" s="67" t="s">
        <v>517</v>
      </c>
      <c r="CN101" s="67" t="s">
        <v>1333</v>
      </c>
      <c r="CO101" s="67" t="s">
        <v>431</v>
      </c>
      <c r="CP101" s="67" t="s">
        <v>534</v>
      </c>
      <c r="CQ101" s="67" t="s">
        <v>404</v>
      </c>
      <c r="CR101" s="67" t="s">
        <v>452</v>
      </c>
      <c r="CS101" s="67"/>
      <c r="CT101" s="67"/>
      <c r="CU101" s="67"/>
      <c r="CV101" s="67"/>
      <c r="CW101" s="67"/>
      <c r="CX101" s="67" t="s">
        <v>1156</v>
      </c>
      <c r="CY101" s="67"/>
      <c r="CZ101" s="67" t="s">
        <v>511</v>
      </c>
      <c r="DA101" s="67" t="s">
        <v>511</v>
      </c>
      <c r="DB101" s="67" t="s">
        <v>404</v>
      </c>
      <c r="DC101" s="67" t="s">
        <v>404</v>
      </c>
      <c r="DD101" s="67" t="s">
        <v>404</v>
      </c>
      <c r="DE101" s="67" t="s">
        <v>1334</v>
      </c>
      <c r="DF101" s="67" t="s">
        <v>472</v>
      </c>
      <c r="DG101" s="67"/>
      <c r="DH101" s="67" t="s">
        <v>662</v>
      </c>
      <c r="DI101" s="67" t="s">
        <v>431</v>
      </c>
      <c r="DJ101" s="67" t="s">
        <v>404</v>
      </c>
      <c r="DK101" s="67" t="s">
        <v>1321</v>
      </c>
      <c r="DL101" s="67" t="s">
        <v>404</v>
      </c>
      <c r="DM101" s="67" t="s">
        <v>1321</v>
      </c>
      <c r="DN101" s="67" t="s">
        <v>1321</v>
      </c>
      <c r="DO101" s="67" t="s">
        <v>1321</v>
      </c>
      <c r="DP101" s="67" t="s">
        <v>404</v>
      </c>
      <c r="DQ101" s="67" t="s">
        <v>1321</v>
      </c>
      <c r="DR101" s="67"/>
      <c r="DS101" s="67"/>
      <c r="DT101" s="67"/>
      <c r="DU101" s="67" t="s">
        <v>1335</v>
      </c>
      <c r="DV101" s="67"/>
      <c r="DW101" s="67" t="s">
        <v>472</v>
      </c>
      <c r="DX101" s="67" t="s">
        <v>547</v>
      </c>
      <c r="DY101" s="67" t="s">
        <v>430</v>
      </c>
      <c r="DZ101" s="67"/>
      <c r="EA101" s="67"/>
      <c r="EB101" s="67" t="s">
        <v>472</v>
      </c>
      <c r="EC101" s="67"/>
      <c r="ED101" s="67"/>
      <c r="EE101" s="67"/>
      <c r="EF101" s="67"/>
      <c r="EG101" s="67"/>
      <c r="EH101" s="67">
        <v>30</v>
      </c>
      <c r="EN101" s="368" t="s">
        <v>5561</v>
      </c>
    </row>
    <row r="102" spans="1:144" x14ac:dyDescent="0.2">
      <c r="A102" s="77" t="s">
        <v>956</v>
      </c>
      <c r="B102" s="77" t="s">
        <v>956</v>
      </c>
      <c r="C102" s="77">
        <v>2</v>
      </c>
      <c r="D102" s="77"/>
      <c r="E102" s="77">
        <v>4</v>
      </c>
      <c r="F102" s="77"/>
      <c r="G102" s="77"/>
      <c r="H102" s="77"/>
      <c r="I102" s="77"/>
      <c r="J102" s="77">
        <v>-2</v>
      </c>
      <c r="K102" s="77"/>
      <c r="L102" s="77">
        <v>4</v>
      </c>
      <c r="M102" s="77">
        <v>20</v>
      </c>
      <c r="N102" s="77"/>
      <c r="O102" s="77"/>
      <c r="P102" s="77"/>
      <c r="Q102" s="77"/>
      <c r="R102" s="77">
        <v>12</v>
      </c>
      <c r="S102" s="77">
        <v>5</v>
      </c>
      <c r="T102" s="77">
        <v>1</v>
      </c>
      <c r="U102" s="77">
        <v>45</v>
      </c>
      <c r="V102" s="12">
        <f t="shared" si="5"/>
        <v>8</v>
      </c>
      <c r="W102" s="12"/>
      <c r="X102" s="77" t="str">
        <f>Taulukko1[[#This Row],[Main Race]]</f>
        <v>Wose</v>
      </c>
      <c r="Z102" s="12" t="s">
        <v>956</v>
      </c>
      <c r="AA102" s="12">
        <v>6543</v>
      </c>
      <c r="AB102" s="12">
        <v>6543</v>
      </c>
      <c r="AC102" s="12">
        <v>6543</v>
      </c>
      <c r="AD102" s="12">
        <v>6543</v>
      </c>
      <c r="AE102" s="12">
        <v>6543</v>
      </c>
      <c r="AF102" s="12">
        <v>6543</v>
      </c>
      <c r="AG102" s="12">
        <v>6543</v>
      </c>
      <c r="AH102" s="12">
        <v>7531</v>
      </c>
      <c r="AJ102" s="12"/>
      <c r="AK102" s="12"/>
      <c r="AL102" s="12" t="s">
        <v>4258</v>
      </c>
      <c r="AM102" s="12"/>
      <c r="AN102" s="12" t="s">
        <v>642</v>
      </c>
      <c r="AO102" s="12"/>
      <c r="AP102" s="12"/>
      <c r="AQ102" s="12"/>
      <c r="AR102" s="12" t="s">
        <v>433</v>
      </c>
      <c r="AS102" s="12" t="s">
        <v>1207</v>
      </c>
      <c r="AT102" s="12"/>
      <c r="AU102" s="12" t="s">
        <v>658</v>
      </c>
      <c r="AV102" s="12" t="s">
        <v>505</v>
      </c>
      <c r="AW102" s="12"/>
      <c r="AX102" s="12"/>
      <c r="AY102" s="12"/>
      <c r="AZ102" s="12" t="s">
        <v>4079</v>
      </c>
      <c r="BA102" s="12" t="s">
        <v>472</v>
      </c>
      <c r="BB102" s="12" t="s">
        <v>1345</v>
      </c>
      <c r="BC102" s="12"/>
      <c r="BD102" s="12" t="s">
        <v>468</v>
      </c>
      <c r="BE102" s="12"/>
      <c r="BF102" s="12" t="s">
        <v>414</v>
      </c>
      <c r="BG102" s="12"/>
      <c r="BH102" s="12"/>
      <c r="BI102" s="12" t="s">
        <v>404</v>
      </c>
      <c r="BJ102" s="12"/>
      <c r="BK102" s="12" t="s">
        <v>658</v>
      </c>
      <c r="BL102" s="12"/>
      <c r="BM102" s="12" t="s">
        <v>587</v>
      </c>
      <c r="BN102" s="12"/>
      <c r="BO102" s="12" t="s">
        <v>658</v>
      </c>
      <c r="BP102" s="12"/>
      <c r="BQ102" s="12" t="s">
        <v>414</v>
      </c>
      <c r="BR102" s="12"/>
      <c r="BS102" s="12" t="s">
        <v>1166</v>
      </c>
      <c r="BT102" s="12" t="s">
        <v>414</v>
      </c>
      <c r="BU102" s="12" t="s">
        <v>1156</v>
      </c>
      <c r="BV102" s="12"/>
      <c r="BW102" s="67" t="s">
        <v>1282</v>
      </c>
      <c r="BX102" s="67" t="s">
        <v>1282</v>
      </c>
      <c r="BY102" s="67"/>
      <c r="BZ102" s="67" t="s">
        <v>414</v>
      </c>
      <c r="CA102" s="67" t="s">
        <v>414</v>
      </c>
      <c r="CB102" s="67" t="s">
        <v>431</v>
      </c>
      <c r="CC102" s="67" t="s">
        <v>414</v>
      </c>
      <c r="CD102" s="67" t="s">
        <v>1282</v>
      </c>
      <c r="CE102" s="67" t="s">
        <v>431</v>
      </c>
      <c r="CF102" s="67" t="s">
        <v>431</v>
      </c>
      <c r="CG102" s="67" t="s">
        <v>414</v>
      </c>
      <c r="CH102" s="67" t="s">
        <v>414</v>
      </c>
      <c r="CI102" s="67" t="s">
        <v>414</v>
      </c>
      <c r="CJ102" s="67"/>
      <c r="CK102" s="67" t="s">
        <v>453</v>
      </c>
      <c r="CL102" s="67"/>
      <c r="CM102" s="67" t="s">
        <v>505</v>
      </c>
      <c r="CN102" s="67" t="s">
        <v>433</v>
      </c>
      <c r="CO102" s="67" t="s">
        <v>658</v>
      </c>
      <c r="CP102" s="67" t="s">
        <v>468</v>
      </c>
      <c r="CQ102" s="67" t="s">
        <v>472</v>
      </c>
      <c r="CR102" s="67" t="s">
        <v>453</v>
      </c>
      <c r="CS102" s="67"/>
      <c r="CT102" s="67"/>
      <c r="CU102" s="67"/>
      <c r="CV102" s="67"/>
      <c r="CW102" s="67"/>
      <c r="CX102" s="67" t="s">
        <v>1121</v>
      </c>
      <c r="CY102" s="67"/>
      <c r="CZ102" s="67" t="s">
        <v>532</v>
      </c>
      <c r="DA102" s="67" t="s">
        <v>532</v>
      </c>
      <c r="DB102" s="67" t="s">
        <v>472</v>
      </c>
      <c r="DC102" s="67" t="s">
        <v>472</v>
      </c>
      <c r="DD102" s="67" t="s">
        <v>472</v>
      </c>
      <c r="DE102" s="67" t="s">
        <v>453</v>
      </c>
      <c r="DF102" s="67"/>
      <c r="DG102" s="67"/>
      <c r="DH102" s="67" t="s">
        <v>666</v>
      </c>
      <c r="DI102" s="67" t="s">
        <v>1282</v>
      </c>
      <c r="DJ102" s="67" t="s">
        <v>1336</v>
      </c>
      <c r="DK102" s="67" t="s">
        <v>404</v>
      </c>
      <c r="DL102" s="67" t="s">
        <v>1336</v>
      </c>
      <c r="DM102" s="67" t="s">
        <v>404</v>
      </c>
      <c r="DN102" s="67" t="s">
        <v>404</v>
      </c>
      <c r="DO102" s="67" t="s">
        <v>404</v>
      </c>
      <c r="DP102" s="67" t="s">
        <v>1336</v>
      </c>
      <c r="DQ102" s="67" t="s">
        <v>404</v>
      </c>
      <c r="DR102" s="67"/>
      <c r="DS102" s="67"/>
      <c r="DT102" s="67"/>
      <c r="DU102" s="67"/>
      <c r="DV102" s="67" t="s">
        <v>1337</v>
      </c>
      <c r="DW102" s="67" t="s">
        <v>659</v>
      </c>
      <c r="DX102" s="67" t="s">
        <v>1320</v>
      </c>
      <c r="DY102" s="67" t="s">
        <v>535</v>
      </c>
      <c r="DZ102" s="67"/>
      <c r="EA102" s="67"/>
      <c r="EB102" s="67" t="s">
        <v>659</v>
      </c>
      <c r="EC102" s="67"/>
      <c r="ED102" s="67"/>
      <c r="EE102" s="67"/>
      <c r="EF102" s="67"/>
      <c r="EG102" s="67"/>
      <c r="EH102" s="67">
        <v>31</v>
      </c>
      <c r="EN102" s="369" t="s">
        <v>431</v>
      </c>
    </row>
    <row r="103" spans="1:144" x14ac:dyDescent="0.2">
      <c r="AJ103" s="12"/>
      <c r="AK103" s="12"/>
      <c r="AL103" s="12"/>
      <c r="AM103" s="12"/>
      <c r="AN103" s="12" t="s">
        <v>4200</v>
      </c>
      <c r="AO103" s="12"/>
      <c r="AP103" s="12"/>
      <c r="AQ103" s="12"/>
      <c r="AR103" s="12" t="s">
        <v>404</v>
      </c>
      <c r="AS103" s="12" t="s">
        <v>1341</v>
      </c>
      <c r="AT103" s="12"/>
      <c r="AU103" s="12" t="s">
        <v>1279</v>
      </c>
      <c r="AV103" s="12" t="s">
        <v>403</v>
      </c>
      <c r="AW103" s="12"/>
      <c r="AX103" s="12"/>
      <c r="AY103" s="12"/>
      <c r="AZ103" s="12"/>
      <c r="BA103" s="12" t="s">
        <v>597</v>
      </c>
      <c r="BB103" s="12" t="s">
        <v>1346</v>
      </c>
      <c r="BC103" s="12"/>
      <c r="BD103" s="12" t="s">
        <v>1338</v>
      </c>
      <c r="BE103" s="12"/>
      <c r="BF103" s="12" t="s">
        <v>535</v>
      </c>
      <c r="BG103" s="12"/>
      <c r="BH103" s="12"/>
      <c r="BI103" s="12" t="s">
        <v>1274</v>
      </c>
      <c r="BJ103" s="12"/>
      <c r="BK103" s="12" t="s">
        <v>1279</v>
      </c>
      <c r="BL103" s="12"/>
      <c r="BM103" s="12" t="s">
        <v>414</v>
      </c>
      <c r="BN103" s="12"/>
      <c r="BO103" s="12" t="s">
        <v>1331</v>
      </c>
      <c r="BP103" s="12"/>
      <c r="BQ103" s="12" t="s">
        <v>535</v>
      </c>
      <c r="BR103" s="12"/>
      <c r="BS103" s="12" t="s">
        <v>1185</v>
      </c>
      <c r="BT103" s="12" t="s">
        <v>535</v>
      </c>
      <c r="BU103" s="12" t="s">
        <v>1121</v>
      </c>
      <c r="BV103" s="12"/>
      <c r="BW103" s="67" t="s">
        <v>431</v>
      </c>
      <c r="BX103" s="67" t="s">
        <v>431</v>
      </c>
      <c r="BY103" s="67"/>
      <c r="BZ103" s="67" t="s">
        <v>535</v>
      </c>
      <c r="CA103" s="67" t="s">
        <v>535</v>
      </c>
      <c r="CB103" s="67" t="s">
        <v>658</v>
      </c>
      <c r="CC103" s="67" t="s">
        <v>535</v>
      </c>
      <c r="CD103" s="67" t="s">
        <v>431</v>
      </c>
      <c r="CE103" s="67" t="s">
        <v>658</v>
      </c>
      <c r="CF103" s="67" t="s">
        <v>658</v>
      </c>
      <c r="CG103" s="67" t="s">
        <v>535</v>
      </c>
      <c r="CH103" s="67" t="s">
        <v>535</v>
      </c>
      <c r="CI103" s="67" t="s">
        <v>535</v>
      </c>
      <c r="CJ103" s="67"/>
      <c r="CK103" s="67" t="s">
        <v>388</v>
      </c>
      <c r="CL103" s="67"/>
      <c r="CM103" s="67" t="s">
        <v>403</v>
      </c>
      <c r="CN103" s="67" t="s">
        <v>1207</v>
      </c>
      <c r="CO103" s="67" t="s">
        <v>1279</v>
      </c>
      <c r="CP103" s="67" t="s">
        <v>1338</v>
      </c>
      <c r="CQ103" s="67" t="s">
        <v>597</v>
      </c>
      <c r="CR103" s="67" t="s">
        <v>1282</v>
      </c>
      <c r="CS103" s="67"/>
      <c r="CT103" s="67"/>
      <c r="CU103" s="67"/>
      <c r="CV103" s="67"/>
      <c r="CW103" s="67"/>
      <c r="CX103" s="67"/>
      <c r="CY103" s="67"/>
      <c r="CZ103" s="67" t="s">
        <v>528</v>
      </c>
      <c r="DA103" s="67" t="s">
        <v>528</v>
      </c>
      <c r="DB103" s="67" t="s">
        <v>597</v>
      </c>
      <c r="DC103" s="67" t="s">
        <v>597</v>
      </c>
      <c r="DD103" s="67" t="s">
        <v>597</v>
      </c>
      <c r="DE103" s="67" t="s">
        <v>452</v>
      </c>
      <c r="DF103" s="67"/>
      <c r="DG103" s="67"/>
      <c r="DH103" s="67" t="s">
        <v>453</v>
      </c>
      <c r="DI103" s="67" t="s">
        <v>658</v>
      </c>
      <c r="DJ103" s="67" t="s">
        <v>1339</v>
      </c>
      <c r="DK103" s="67" t="s">
        <v>1336</v>
      </c>
      <c r="DL103" s="67" t="s">
        <v>1339</v>
      </c>
      <c r="DM103" s="67" t="s">
        <v>1336</v>
      </c>
      <c r="DN103" s="67" t="s">
        <v>1336</v>
      </c>
      <c r="DO103" s="67" t="s">
        <v>1336</v>
      </c>
      <c r="DP103" s="67" t="s">
        <v>1339</v>
      </c>
      <c r="DQ103" s="67" t="s">
        <v>1336</v>
      </c>
      <c r="DR103" s="67"/>
      <c r="DS103" s="67"/>
      <c r="DT103" s="67"/>
      <c r="DU103" s="67"/>
      <c r="DV103" s="67" t="s">
        <v>1340</v>
      </c>
      <c r="DW103" s="67" t="s">
        <v>1156</v>
      </c>
      <c r="DX103" s="67" t="s">
        <v>430</v>
      </c>
      <c r="DY103" s="67" t="s">
        <v>5561</v>
      </c>
      <c r="DZ103" s="67"/>
      <c r="EA103" s="67"/>
      <c r="EB103" s="67" t="s">
        <v>580</v>
      </c>
      <c r="EC103" s="67"/>
      <c r="ED103" s="67"/>
      <c r="EE103" s="67"/>
      <c r="EF103" s="67"/>
      <c r="EG103" s="67"/>
      <c r="EH103" s="67">
        <v>32</v>
      </c>
      <c r="EN103" s="368" t="s">
        <v>658</v>
      </c>
    </row>
    <row r="104" spans="1:144" x14ac:dyDescent="0.2">
      <c r="AJ104" s="12"/>
      <c r="AK104" s="12"/>
      <c r="AL104" s="12"/>
      <c r="AM104" s="12"/>
      <c r="AN104" s="12" t="s">
        <v>4201</v>
      </c>
      <c r="AO104" s="12"/>
      <c r="AP104" s="12"/>
      <c r="AQ104" s="12"/>
      <c r="AR104" s="12" t="s">
        <v>597</v>
      </c>
      <c r="AS104" s="12" t="s">
        <v>1121</v>
      </c>
      <c r="AT104" s="12"/>
      <c r="AU104" s="12" t="s">
        <v>433</v>
      </c>
      <c r="AV104" s="12" t="s">
        <v>452</v>
      </c>
      <c r="AW104" s="12"/>
      <c r="AX104" s="12"/>
      <c r="AY104" s="12"/>
      <c r="AZ104" s="12"/>
      <c r="BA104" s="12" t="s">
        <v>1342</v>
      </c>
      <c r="BB104" s="69" t="s">
        <v>1349</v>
      </c>
      <c r="BC104" s="12"/>
      <c r="BD104" s="12" t="s">
        <v>505</v>
      </c>
      <c r="BE104" s="12"/>
      <c r="BF104" s="12" t="s">
        <v>1311</v>
      </c>
      <c r="BG104" s="12"/>
      <c r="BH104" s="12"/>
      <c r="BI104" s="12" t="s">
        <v>472</v>
      </c>
      <c r="BJ104" s="12"/>
      <c r="BK104" s="12" t="s">
        <v>433</v>
      </c>
      <c r="BL104" s="12"/>
      <c r="BM104" s="12" t="s">
        <v>535</v>
      </c>
      <c r="BN104" s="12"/>
      <c r="BO104" s="12" t="s">
        <v>1126</v>
      </c>
      <c r="BP104" s="12"/>
      <c r="BQ104" s="12" t="s">
        <v>1311</v>
      </c>
      <c r="BR104" s="12"/>
      <c r="BS104" s="69" t="s">
        <v>4197</v>
      </c>
      <c r="BT104" s="12" t="s">
        <v>1311</v>
      </c>
      <c r="BU104" s="12" t="s">
        <v>4199</v>
      </c>
      <c r="BV104" s="12"/>
      <c r="BW104" s="67" t="s">
        <v>658</v>
      </c>
      <c r="BX104" s="67" t="s">
        <v>658</v>
      </c>
      <c r="BY104" s="67"/>
      <c r="BZ104" s="67" t="s">
        <v>1311</v>
      </c>
      <c r="CA104" s="67" t="s">
        <v>1311</v>
      </c>
      <c r="CB104" s="67" t="s">
        <v>1279</v>
      </c>
      <c r="CC104" s="67" t="s">
        <v>1311</v>
      </c>
      <c r="CD104" s="67" t="s">
        <v>658</v>
      </c>
      <c r="CE104" s="67" t="s">
        <v>1279</v>
      </c>
      <c r="CF104" s="67" t="s">
        <v>1279</v>
      </c>
      <c r="CG104" s="67" t="s">
        <v>1311</v>
      </c>
      <c r="CH104" s="67" t="s">
        <v>1311</v>
      </c>
      <c r="CI104" s="67" t="s">
        <v>1311</v>
      </c>
      <c r="CJ104" s="67"/>
      <c r="CK104" s="67" t="s">
        <v>5486</v>
      </c>
      <c r="CL104" s="67"/>
      <c r="CM104" s="67" t="s">
        <v>452</v>
      </c>
      <c r="CN104" s="67" t="s">
        <v>1341</v>
      </c>
      <c r="CO104" s="67" t="s">
        <v>433</v>
      </c>
      <c r="CP104" s="67" t="s">
        <v>505</v>
      </c>
      <c r="CQ104" s="67" t="s">
        <v>1121</v>
      </c>
      <c r="CR104" s="67" t="s">
        <v>658</v>
      </c>
      <c r="CS104" s="67"/>
      <c r="CT104" s="67"/>
      <c r="CU104" s="67"/>
      <c r="CV104" s="67"/>
      <c r="CW104" s="67"/>
      <c r="CX104" s="67"/>
      <c r="CY104" s="67"/>
      <c r="CZ104" s="67" t="s">
        <v>541</v>
      </c>
      <c r="DA104" s="67" t="s">
        <v>541</v>
      </c>
      <c r="DB104" s="67" t="s">
        <v>1342</v>
      </c>
      <c r="DC104" s="67" t="s">
        <v>1342</v>
      </c>
      <c r="DD104" s="67" t="s">
        <v>1342</v>
      </c>
      <c r="DE104" s="67"/>
      <c r="DF104" s="67"/>
      <c r="DG104" s="67"/>
      <c r="DH104" s="67" t="s">
        <v>452</v>
      </c>
      <c r="DI104" s="67" t="s">
        <v>404</v>
      </c>
      <c r="DJ104" s="67" t="s">
        <v>472</v>
      </c>
      <c r="DK104" s="67" t="s">
        <v>1339</v>
      </c>
      <c r="DL104" s="67" t="s">
        <v>472</v>
      </c>
      <c r="DM104" s="67" t="s">
        <v>1339</v>
      </c>
      <c r="DN104" s="67" t="s">
        <v>1339</v>
      </c>
      <c r="DO104" s="67" t="s">
        <v>1339</v>
      </c>
      <c r="DP104" s="67" t="s">
        <v>472</v>
      </c>
      <c r="DQ104" s="67" t="s">
        <v>1339</v>
      </c>
      <c r="DR104" s="67"/>
      <c r="DS104" s="67"/>
      <c r="DT104" s="67"/>
      <c r="DU104" s="67"/>
      <c r="DV104" s="67" t="s">
        <v>1343</v>
      </c>
      <c r="DW104" s="67" t="s">
        <v>1121</v>
      </c>
      <c r="DX104" s="67" t="s">
        <v>431</v>
      </c>
      <c r="DY104" s="67" t="s">
        <v>431</v>
      </c>
      <c r="DZ104" s="67"/>
      <c r="EA104" s="67"/>
      <c r="EB104" s="67"/>
      <c r="EC104" s="67"/>
      <c r="ED104" s="67"/>
      <c r="EE104" s="67"/>
      <c r="EF104" s="67"/>
      <c r="EG104" s="67"/>
      <c r="EH104" s="67">
        <v>33</v>
      </c>
      <c r="EN104" s="368" t="s">
        <v>433</v>
      </c>
    </row>
    <row r="105" spans="1:144" x14ac:dyDescent="0.2">
      <c r="AJ105" s="12"/>
      <c r="AK105" s="12"/>
      <c r="AL105" s="12"/>
      <c r="AM105" s="12"/>
      <c r="AN105" s="12" t="s">
        <v>4256</v>
      </c>
      <c r="AO105" s="12"/>
      <c r="AP105" s="12"/>
      <c r="AQ105" s="12"/>
      <c r="AR105" s="12" t="s">
        <v>4199</v>
      </c>
      <c r="AS105" s="12" t="s">
        <v>1193</v>
      </c>
      <c r="AT105" s="12"/>
      <c r="AU105" s="12" t="s">
        <v>472</v>
      </c>
      <c r="AV105" s="12" t="s">
        <v>453</v>
      </c>
      <c r="AW105" s="12"/>
      <c r="AX105" s="12"/>
      <c r="AY105" s="12"/>
      <c r="AZ105" s="12"/>
      <c r="BA105" s="12" t="s">
        <v>1345</v>
      </c>
      <c r="BB105" s="12" t="s">
        <v>1350</v>
      </c>
      <c r="BC105" s="12"/>
      <c r="BD105" s="12" t="s">
        <v>403</v>
      </c>
      <c r="BE105" s="12"/>
      <c r="BF105" s="12" t="s">
        <v>403</v>
      </c>
      <c r="BG105" s="12"/>
      <c r="BH105" s="12"/>
      <c r="BI105" s="12" t="s">
        <v>1156</v>
      </c>
      <c r="BJ105" s="12"/>
      <c r="BK105" s="12" t="s">
        <v>472</v>
      </c>
      <c r="BL105" s="12"/>
      <c r="BM105" s="12" t="s">
        <v>1311</v>
      </c>
      <c r="BN105" s="12"/>
      <c r="BO105" s="12" t="s">
        <v>1329</v>
      </c>
      <c r="BP105" s="12"/>
      <c r="BQ105" s="12" t="s">
        <v>403</v>
      </c>
      <c r="BR105" s="12"/>
      <c r="BS105" s="12" t="s">
        <v>1106</v>
      </c>
      <c r="BT105" s="12" t="s">
        <v>403</v>
      </c>
      <c r="BU105" s="12"/>
      <c r="BV105" s="12"/>
      <c r="BW105" s="67" t="s">
        <v>1279</v>
      </c>
      <c r="BX105" s="67" t="s">
        <v>1279</v>
      </c>
      <c r="BY105" s="67"/>
      <c r="BZ105" s="67" t="s">
        <v>403</v>
      </c>
      <c r="CA105" s="67" t="s">
        <v>403</v>
      </c>
      <c r="CB105" s="67" t="s">
        <v>1344</v>
      </c>
      <c r="CC105" s="67" t="s">
        <v>403</v>
      </c>
      <c r="CD105" s="67" t="s">
        <v>1120</v>
      </c>
      <c r="CE105" s="67" t="s">
        <v>433</v>
      </c>
      <c r="CF105" s="67" t="s">
        <v>433</v>
      </c>
      <c r="CG105" s="67" t="s">
        <v>403</v>
      </c>
      <c r="CH105" s="67" t="s">
        <v>403</v>
      </c>
      <c r="CI105" s="67" t="s">
        <v>403</v>
      </c>
      <c r="CJ105" s="67"/>
      <c r="CK105" s="67" t="s">
        <v>5488</v>
      </c>
      <c r="CL105" s="67"/>
      <c r="CM105" s="67" t="s">
        <v>453</v>
      </c>
      <c r="CN105" s="67" t="s">
        <v>1121</v>
      </c>
      <c r="CO105" s="67" t="s">
        <v>404</v>
      </c>
      <c r="CP105" s="67" t="s">
        <v>403</v>
      </c>
      <c r="CQ105" s="67"/>
      <c r="CR105" s="67" t="s">
        <v>1120</v>
      </c>
      <c r="CS105" s="67"/>
      <c r="CT105" s="67"/>
      <c r="CU105" s="67"/>
      <c r="CV105" s="67"/>
      <c r="CW105" s="67"/>
      <c r="CX105" s="67"/>
      <c r="CY105" s="67"/>
      <c r="CZ105" s="67" t="s">
        <v>547</v>
      </c>
      <c r="DA105" s="67" t="s">
        <v>547</v>
      </c>
      <c r="DB105" s="67" t="s">
        <v>1345</v>
      </c>
      <c r="DC105" s="67" t="s">
        <v>1345</v>
      </c>
      <c r="DD105" s="67" t="s">
        <v>1345</v>
      </c>
      <c r="DE105" s="67"/>
      <c r="DF105" s="67"/>
      <c r="DG105" s="67"/>
      <c r="DH105" s="67"/>
      <c r="DI105" s="67" t="s">
        <v>472</v>
      </c>
      <c r="DJ105" s="67" t="s">
        <v>597</v>
      </c>
      <c r="DK105" s="67" t="s">
        <v>472</v>
      </c>
      <c r="DL105" s="67" t="s">
        <v>597</v>
      </c>
      <c r="DM105" s="67" t="s">
        <v>472</v>
      </c>
      <c r="DN105" s="67" t="s">
        <v>472</v>
      </c>
      <c r="DO105" s="67" t="s">
        <v>472</v>
      </c>
      <c r="DP105" s="67" t="s">
        <v>597</v>
      </c>
      <c r="DQ105" s="67" t="s">
        <v>472</v>
      </c>
      <c r="DR105" s="67"/>
      <c r="DS105" s="67"/>
      <c r="DT105" s="67"/>
      <c r="DU105" s="67"/>
      <c r="DV105" s="67"/>
      <c r="DW105" s="67"/>
      <c r="DX105" s="67" t="s">
        <v>658</v>
      </c>
      <c r="DY105" s="67" t="s">
        <v>658</v>
      </c>
      <c r="DZ105" s="67"/>
      <c r="EA105" s="67"/>
      <c r="EB105" s="67"/>
      <c r="EC105" s="67"/>
      <c r="ED105" s="67"/>
      <c r="EE105" s="67"/>
      <c r="EF105" s="67"/>
      <c r="EG105" s="67"/>
      <c r="EH105" s="67">
        <v>34</v>
      </c>
      <c r="EN105" s="369" t="s">
        <v>1321</v>
      </c>
    </row>
    <row r="106" spans="1:144" x14ac:dyDescent="0.2">
      <c r="AJ106" s="12"/>
      <c r="AK106" s="12"/>
      <c r="AL106" s="12"/>
      <c r="AM106" s="12"/>
      <c r="AN106" s="12" t="s">
        <v>4257</v>
      </c>
      <c r="AO106" s="12"/>
      <c r="AP106" s="12"/>
      <c r="AQ106" s="12"/>
      <c r="AR106" s="12"/>
      <c r="AS106" s="12" t="s">
        <v>4199</v>
      </c>
      <c r="AT106" s="12"/>
      <c r="AU106" s="12" t="s">
        <v>1207</v>
      </c>
      <c r="AV106" s="12" t="s">
        <v>1348</v>
      </c>
      <c r="AW106" s="12"/>
      <c r="AX106" s="12"/>
      <c r="AY106" s="12"/>
      <c r="AZ106" s="12"/>
      <c r="BA106" s="12" t="s">
        <v>1346</v>
      </c>
      <c r="BB106" s="69" t="s">
        <v>4078</v>
      </c>
      <c r="BC106" s="12"/>
      <c r="BD106" s="12" t="s">
        <v>658</v>
      </c>
      <c r="BE106" s="12"/>
      <c r="BF106" s="12" t="s">
        <v>658</v>
      </c>
      <c r="BG106" s="12"/>
      <c r="BH106" s="12"/>
      <c r="BI106" s="12"/>
      <c r="BJ106" s="12"/>
      <c r="BK106" s="12" t="s">
        <v>536</v>
      </c>
      <c r="BL106" s="12"/>
      <c r="BM106" s="12" t="s">
        <v>403</v>
      </c>
      <c r="BN106" s="12"/>
      <c r="BO106" s="12" t="s">
        <v>536</v>
      </c>
      <c r="BP106" s="12"/>
      <c r="BQ106" s="12" t="s">
        <v>658</v>
      </c>
      <c r="BR106" s="12"/>
      <c r="BS106" s="12"/>
      <c r="BT106" s="12" t="s">
        <v>658</v>
      </c>
      <c r="BU106" s="12"/>
      <c r="BV106" s="12"/>
      <c r="BW106" s="67" t="s">
        <v>433</v>
      </c>
      <c r="BX106" s="67" t="s">
        <v>433</v>
      </c>
      <c r="BY106" s="67"/>
      <c r="BZ106" s="67" t="s">
        <v>658</v>
      </c>
      <c r="CA106" s="67" t="s">
        <v>658</v>
      </c>
      <c r="CB106" s="67" t="s">
        <v>433</v>
      </c>
      <c r="CC106" s="67" t="s">
        <v>658</v>
      </c>
      <c r="CD106" s="67" t="s">
        <v>433</v>
      </c>
      <c r="CE106" s="67" t="s">
        <v>472</v>
      </c>
      <c r="CF106" s="67" t="s">
        <v>472</v>
      </c>
      <c r="CG106" s="67" t="s">
        <v>658</v>
      </c>
      <c r="CH106" s="67" t="s">
        <v>658</v>
      </c>
      <c r="CI106" s="67" t="s">
        <v>658</v>
      </c>
      <c r="CJ106" s="67"/>
      <c r="CK106" s="67" t="s">
        <v>726</v>
      </c>
      <c r="CL106" s="67"/>
      <c r="CM106" s="67" t="s">
        <v>1282</v>
      </c>
      <c r="CN106" s="67"/>
      <c r="CO106" s="67" t="s">
        <v>597</v>
      </c>
      <c r="CP106" s="67" t="s">
        <v>658</v>
      </c>
      <c r="CQ106" s="67"/>
      <c r="CR106" s="67" t="s">
        <v>1126</v>
      </c>
      <c r="CS106" s="67"/>
      <c r="CT106" s="67"/>
      <c r="CU106" s="67"/>
      <c r="CV106" s="67"/>
      <c r="CW106" s="67"/>
      <c r="CX106" s="67"/>
      <c r="CY106" s="67"/>
      <c r="CZ106" s="67" t="s">
        <v>1321</v>
      </c>
      <c r="DA106" s="67" t="s">
        <v>1321</v>
      </c>
      <c r="DB106" s="67" t="s">
        <v>1346</v>
      </c>
      <c r="DC106" s="67" t="s">
        <v>1346</v>
      </c>
      <c r="DD106" s="67" t="s">
        <v>1346</v>
      </c>
      <c r="DE106" s="67"/>
      <c r="DF106" s="67"/>
      <c r="DG106" s="67"/>
      <c r="DH106" s="67"/>
      <c r="DI106" s="67" t="s">
        <v>1347</v>
      </c>
      <c r="DJ106" s="67"/>
      <c r="DK106" s="67" t="s">
        <v>597</v>
      </c>
      <c r="DL106" s="67"/>
      <c r="DM106" s="67" t="s">
        <v>597</v>
      </c>
      <c r="DN106" s="67" t="s">
        <v>597</v>
      </c>
      <c r="DO106" s="67" t="s">
        <v>597</v>
      </c>
      <c r="DP106" s="67"/>
      <c r="DQ106" s="67" t="s">
        <v>597</v>
      </c>
      <c r="DR106" s="67"/>
      <c r="DS106" s="67"/>
      <c r="DT106" s="67"/>
      <c r="DU106" s="67"/>
      <c r="DV106" s="67"/>
      <c r="DW106" s="67"/>
      <c r="DX106" s="67" t="s">
        <v>1321</v>
      </c>
      <c r="DY106" s="67" t="s">
        <v>433</v>
      </c>
      <c r="DZ106" s="67"/>
      <c r="EA106" s="67"/>
      <c r="EB106" s="67"/>
      <c r="EC106" s="67"/>
      <c r="ED106" s="67"/>
      <c r="EE106" s="67"/>
      <c r="EF106" s="67"/>
      <c r="EG106" s="67"/>
      <c r="EH106" s="67">
        <v>35</v>
      </c>
      <c r="EN106" s="368" t="s">
        <v>404</v>
      </c>
    </row>
    <row r="107" spans="1:144" x14ac:dyDescent="0.2">
      <c r="AJ107" s="12"/>
      <c r="AK107" s="12"/>
      <c r="AL107" s="12"/>
      <c r="AM107" s="12"/>
      <c r="AN107" s="12" t="s">
        <v>4258</v>
      </c>
      <c r="AO107" s="12"/>
      <c r="AP107" s="12"/>
      <c r="AQ107" s="12"/>
      <c r="AR107" s="12"/>
      <c r="AS107" s="12"/>
      <c r="AT107" s="12"/>
      <c r="AU107" s="12" t="s">
        <v>1362</v>
      </c>
      <c r="AV107" s="12" t="s">
        <v>658</v>
      </c>
      <c r="AW107" s="12"/>
      <c r="AX107" s="12"/>
      <c r="AY107" s="12"/>
      <c r="AZ107" s="12"/>
      <c r="BA107" s="12" t="s">
        <v>1349</v>
      </c>
      <c r="BB107" s="12"/>
      <c r="BC107" s="12"/>
      <c r="BD107" s="12" t="s">
        <v>1279</v>
      </c>
      <c r="BE107" s="12"/>
      <c r="BF107" s="12" t="s">
        <v>1331</v>
      </c>
      <c r="BG107" s="12"/>
      <c r="BH107" s="12"/>
      <c r="BI107" s="12"/>
      <c r="BJ107" s="12"/>
      <c r="BK107" s="12" t="s">
        <v>597</v>
      </c>
      <c r="BL107" s="12"/>
      <c r="BM107" s="12" t="s">
        <v>658</v>
      </c>
      <c r="BN107" s="12"/>
      <c r="BO107" s="12" t="s">
        <v>1354</v>
      </c>
      <c r="BP107" s="12"/>
      <c r="BQ107" s="12" t="s">
        <v>1331</v>
      </c>
      <c r="BR107" s="12"/>
      <c r="BS107" s="12"/>
      <c r="BT107" s="12" t="s">
        <v>1331</v>
      </c>
      <c r="BU107" s="12"/>
      <c r="BV107" s="12"/>
      <c r="BW107" s="67" t="s">
        <v>404</v>
      </c>
      <c r="BX107" s="67" t="s">
        <v>404</v>
      </c>
      <c r="BY107" s="67"/>
      <c r="BZ107" s="67" t="s">
        <v>1331</v>
      </c>
      <c r="CA107" s="67" t="s">
        <v>1331</v>
      </c>
      <c r="CB107" s="67" t="s">
        <v>1321</v>
      </c>
      <c r="CC107" s="67" t="s">
        <v>1331</v>
      </c>
      <c r="CD107" s="67" t="s">
        <v>536</v>
      </c>
      <c r="CE107" s="67" t="s">
        <v>536</v>
      </c>
      <c r="CF107" s="67" t="s">
        <v>536</v>
      </c>
      <c r="CG107" s="67" t="s">
        <v>1331</v>
      </c>
      <c r="CH107" s="67" t="s">
        <v>1331</v>
      </c>
      <c r="CI107" s="67" t="s">
        <v>1331</v>
      </c>
      <c r="CJ107" s="67"/>
      <c r="CK107" s="67" t="s">
        <v>5489</v>
      </c>
      <c r="CL107" s="67"/>
      <c r="CM107" s="67" t="s">
        <v>1348</v>
      </c>
      <c r="CN107" s="67"/>
      <c r="CO107" s="67"/>
      <c r="CP107" s="67" t="s">
        <v>1279</v>
      </c>
      <c r="CQ107" s="67"/>
      <c r="CR107" s="67" t="s">
        <v>455</v>
      </c>
      <c r="CS107" s="67"/>
      <c r="CT107" s="67"/>
      <c r="CU107" s="67"/>
      <c r="CV107" s="67"/>
      <c r="CW107" s="67"/>
      <c r="CX107" s="67"/>
      <c r="CY107" s="67"/>
      <c r="CZ107" s="67"/>
      <c r="DA107" s="67"/>
      <c r="DB107" s="67" t="s">
        <v>1349</v>
      </c>
      <c r="DC107" s="67" t="s">
        <v>1349</v>
      </c>
      <c r="DD107" s="67" t="s">
        <v>1349</v>
      </c>
      <c r="DE107" s="67"/>
      <c r="DF107" s="67"/>
      <c r="DG107" s="67"/>
      <c r="DH107" s="67"/>
      <c r="DI107" s="67" t="s">
        <v>597</v>
      </c>
      <c r="DJ107" s="67"/>
      <c r="DK107" s="67"/>
      <c r="DL107" s="67"/>
      <c r="DM107" s="67"/>
      <c r="DN107" s="67"/>
      <c r="DO107" s="67"/>
      <c r="DP107" s="67"/>
      <c r="DQ107" s="67"/>
      <c r="DR107" s="67"/>
      <c r="DS107" s="67"/>
      <c r="DT107" s="67"/>
      <c r="DU107" s="67"/>
      <c r="DV107" s="67"/>
      <c r="DW107" s="67"/>
      <c r="DX107" s="67" t="s">
        <v>1332</v>
      </c>
      <c r="DY107" s="67" t="s">
        <v>1321</v>
      </c>
      <c r="DZ107" s="67"/>
      <c r="EA107" s="67"/>
      <c r="EB107" s="67"/>
      <c r="EC107" s="67"/>
      <c r="ED107" s="67"/>
      <c r="EE107" s="67"/>
      <c r="EF107" s="67"/>
      <c r="EG107" s="67"/>
      <c r="EH107" s="67">
        <v>36</v>
      </c>
      <c r="EN107" s="369" t="s">
        <v>472</v>
      </c>
    </row>
    <row r="108" spans="1:144" x14ac:dyDescent="0.2">
      <c r="AJ108" s="12"/>
      <c r="AK108" s="12"/>
      <c r="AL108" s="12"/>
      <c r="AM108" s="12"/>
      <c r="AN108" s="12"/>
      <c r="AO108" s="12"/>
      <c r="AP108" s="12"/>
      <c r="AQ108" s="12"/>
      <c r="AR108" s="12"/>
      <c r="AS108" s="12"/>
      <c r="AT108" s="12"/>
      <c r="AU108" s="12" t="s">
        <v>1121</v>
      </c>
      <c r="AV108" s="12" t="s">
        <v>1279</v>
      </c>
      <c r="AW108" s="12"/>
      <c r="AX108" s="12"/>
      <c r="AY108" s="12"/>
      <c r="AZ108" s="12"/>
      <c r="BA108" s="12" t="s">
        <v>1350</v>
      </c>
      <c r="BB108" s="12"/>
      <c r="BC108" s="12"/>
      <c r="BD108" s="12" t="s">
        <v>433</v>
      </c>
      <c r="BE108" s="12"/>
      <c r="BF108" s="12" t="s">
        <v>1126</v>
      </c>
      <c r="BG108" s="12"/>
      <c r="BH108" s="12"/>
      <c r="BI108" s="12"/>
      <c r="BJ108" s="12"/>
      <c r="BK108" s="12" t="s">
        <v>1121</v>
      </c>
      <c r="BL108" s="12"/>
      <c r="BM108" s="12" t="s">
        <v>1331</v>
      </c>
      <c r="BN108" s="12"/>
      <c r="BO108" s="12" t="s">
        <v>659</v>
      </c>
      <c r="BP108" s="12"/>
      <c r="BQ108" s="12" t="s">
        <v>1126</v>
      </c>
      <c r="BR108" s="12"/>
      <c r="BS108" s="12"/>
      <c r="BT108" s="12" t="s">
        <v>1126</v>
      </c>
      <c r="BU108" s="12"/>
      <c r="BV108" s="12"/>
      <c r="BW108" s="67" t="s">
        <v>1274</v>
      </c>
      <c r="BX108" s="67" t="s">
        <v>1274</v>
      </c>
      <c r="BY108" s="67"/>
      <c r="BZ108" s="67" t="s">
        <v>1126</v>
      </c>
      <c r="CA108" s="67" t="s">
        <v>1126</v>
      </c>
      <c r="CB108" s="67" t="s">
        <v>472</v>
      </c>
      <c r="CC108" s="67" t="s">
        <v>1126</v>
      </c>
      <c r="CD108" s="67" t="s">
        <v>659</v>
      </c>
      <c r="CE108" s="67" t="s">
        <v>597</v>
      </c>
      <c r="CF108" s="67" t="s">
        <v>597</v>
      </c>
      <c r="CG108" s="67" t="s">
        <v>1126</v>
      </c>
      <c r="CH108" s="67" t="s">
        <v>1126</v>
      </c>
      <c r="CI108" s="67" t="s">
        <v>1126</v>
      </c>
      <c r="CJ108" s="67"/>
      <c r="CK108" s="67" t="s">
        <v>597</v>
      </c>
      <c r="CL108" s="67"/>
      <c r="CM108" s="67" t="s">
        <v>658</v>
      </c>
      <c r="CN108" s="67"/>
      <c r="CO108" s="67"/>
      <c r="CP108" s="67" t="s">
        <v>433</v>
      </c>
      <c r="CQ108" s="67"/>
      <c r="CR108" s="67" t="s">
        <v>433</v>
      </c>
      <c r="CS108" s="67"/>
      <c r="CT108" s="67"/>
      <c r="CU108" s="67"/>
      <c r="CV108" s="67"/>
      <c r="CW108" s="67"/>
      <c r="CX108" s="67"/>
      <c r="CY108" s="67"/>
      <c r="CZ108" s="67"/>
      <c r="DA108" s="67"/>
      <c r="DB108" s="67" t="s">
        <v>1350</v>
      </c>
      <c r="DC108" s="67" t="s">
        <v>1350</v>
      </c>
      <c r="DD108" s="67" t="s">
        <v>1350</v>
      </c>
      <c r="DE108" s="67"/>
      <c r="DF108" s="67"/>
      <c r="DG108" s="67"/>
      <c r="DH108" s="67"/>
      <c r="DI108" s="67"/>
      <c r="DJ108" s="67"/>
      <c r="DK108" s="67"/>
      <c r="DL108" s="67"/>
      <c r="DM108" s="67"/>
      <c r="DN108" s="67"/>
      <c r="DO108" s="67"/>
      <c r="DP108" s="67"/>
      <c r="DQ108" s="67"/>
      <c r="DR108" s="67"/>
      <c r="DS108" s="67"/>
      <c r="DT108" s="67"/>
      <c r="DU108" s="67"/>
      <c r="DV108" s="67"/>
      <c r="DW108" s="67"/>
      <c r="DX108" s="67" t="s">
        <v>472</v>
      </c>
      <c r="DY108" s="67" t="s">
        <v>404</v>
      </c>
      <c r="DZ108" s="67"/>
      <c r="EA108" s="67"/>
      <c r="EB108" s="67"/>
      <c r="EC108" s="67"/>
      <c r="ED108" s="67"/>
      <c r="EE108" s="67"/>
      <c r="EF108" s="67"/>
      <c r="EG108" s="67"/>
      <c r="EH108" s="67">
        <v>37</v>
      </c>
      <c r="EN108" s="369" t="s">
        <v>5562</v>
      </c>
    </row>
    <row r="109" spans="1:144" x14ac:dyDescent="0.2">
      <c r="AJ109" s="12"/>
      <c r="AK109" s="12"/>
      <c r="AL109" s="12"/>
      <c r="AM109" s="12"/>
      <c r="AN109" s="12"/>
      <c r="AO109" s="12"/>
      <c r="AP109" s="12"/>
      <c r="AQ109" s="12"/>
      <c r="AR109" s="12"/>
      <c r="AS109" s="12"/>
      <c r="AT109" s="12"/>
      <c r="AU109" s="12" t="s">
        <v>1274</v>
      </c>
      <c r="AV109" s="12" t="s">
        <v>455</v>
      </c>
      <c r="AW109" s="12"/>
      <c r="AX109" s="12"/>
      <c r="AY109" s="12"/>
      <c r="AZ109" s="12"/>
      <c r="BA109" s="69" t="s">
        <v>4078</v>
      </c>
      <c r="BB109" s="12"/>
      <c r="BC109" s="12"/>
      <c r="BD109" s="12" t="s">
        <v>1351</v>
      </c>
      <c r="BE109" s="12"/>
      <c r="BF109" s="12" t="s">
        <v>1329</v>
      </c>
      <c r="BG109" s="12"/>
      <c r="BH109" s="12"/>
      <c r="BI109" s="12"/>
      <c r="BJ109" s="12"/>
      <c r="BK109" s="12" t="s">
        <v>1353</v>
      </c>
      <c r="BL109" s="12"/>
      <c r="BM109" s="12" t="s">
        <v>1126</v>
      </c>
      <c r="BN109" s="12"/>
      <c r="BO109" s="12" t="s">
        <v>1156</v>
      </c>
      <c r="BP109" s="12"/>
      <c r="BQ109" s="12" t="s">
        <v>1329</v>
      </c>
      <c r="BR109" s="12"/>
      <c r="BS109" s="12"/>
      <c r="BT109" s="12" t="s">
        <v>1329</v>
      </c>
      <c r="BU109" s="12"/>
      <c r="BV109" s="12"/>
      <c r="BW109" s="67" t="s">
        <v>472</v>
      </c>
      <c r="BX109" s="67" t="s">
        <v>472</v>
      </c>
      <c r="BY109" s="67"/>
      <c r="BZ109" s="67" t="s">
        <v>1329</v>
      </c>
      <c r="CA109" s="67" t="s">
        <v>1329</v>
      </c>
      <c r="CB109" s="67" t="s">
        <v>597</v>
      </c>
      <c r="CC109" s="67" t="s">
        <v>1329</v>
      </c>
      <c r="CD109" s="67" t="s">
        <v>597</v>
      </c>
      <c r="CE109" s="67" t="s">
        <v>1121</v>
      </c>
      <c r="CF109" s="67" t="s">
        <v>1121</v>
      </c>
      <c r="CG109" s="67" t="s">
        <v>1329</v>
      </c>
      <c r="CH109" s="67" t="s">
        <v>1329</v>
      </c>
      <c r="CI109" s="67" t="s">
        <v>1329</v>
      </c>
      <c r="CJ109" s="67"/>
      <c r="CK109" s="67"/>
      <c r="CL109" s="67"/>
      <c r="CM109" s="67" t="s">
        <v>1279</v>
      </c>
      <c r="CN109" s="67"/>
      <c r="CO109" s="67"/>
      <c r="CP109" s="67" t="s">
        <v>1351</v>
      </c>
      <c r="CQ109" s="67"/>
      <c r="CR109" s="67" t="s">
        <v>404</v>
      </c>
      <c r="CS109" s="67"/>
      <c r="CT109" s="67"/>
      <c r="CU109" s="67"/>
      <c r="CV109" s="67"/>
      <c r="CW109" s="67"/>
      <c r="CX109" s="67"/>
      <c r="CY109" s="67"/>
      <c r="CZ109" s="67"/>
      <c r="DA109" s="67"/>
      <c r="DB109" s="67"/>
      <c r="DC109" s="67"/>
      <c r="DD109" s="67"/>
      <c r="DE109" s="67"/>
      <c r="DF109" s="67"/>
      <c r="DG109" s="67"/>
      <c r="DH109" s="67"/>
      <c r="DI109" s="67"/>
      <c r="DJ109" s="67"/>
      <c r="DK109" s="67"/>
      <c r="DL109" s="67"/>
      <c r="DM109" s="67"/>
      <c r="DN109" s="67"/>
      <c r="DO109" s="67"/>
      <c r="DP109" s="67"/>
      <c r="DQ109" s="67"/>
      <c r="DR109" s="67"/>
      <c r="DS109" s="67"/>
      <c r="DT109" s="67"/>
      <c r="DU109" s="67"/>
      <c r="DV109" s="67"/>
      <c r="DW109" s="67"/>
      <c r="DX109" s="67" t="s">
        <v>659</v>
      </c>
      <c r="DY109" s="67" t="s">
        <v>472</v>
      </c>
      <c r="DZ109" s="67"/>
      <c r="EA109" s="67"/>
      <c r="EB109" s="67"/>
      <c r="EC109" s="67"/>
      <c r="ED109" s="67"/>
      <c r="EE109" s="67"/>
      <c r="EF109" s="67"/>
      <c r="EG109" s="67"/>
      <c r="EH109" s="67">
        <v>38</v>
      </c>
      <c r="EN109" s="368" t="s">
        <v>659</v>
      </c>
    </row>
    <row r="110" spans="1:144" x14ac:dyDescent="0.2">
      <c r="AJ110" s="12"/>
      <c r="AK110" s="12"/>
      <c r="AL110" s="12"/>
      <c r="AM110" s="12"/>
      <c r="AN110" s="12"/>
      <c r="AO110" s="12"/>
      <c r="AP110" s="12"/>
      <c r="AQ110" s="12"/>
      <c r="AR110" s="12"/>
      <c r="AS110" s="12"/>
      <c r="AT110" s="12"/>
      <c r="AU110" s="12" t="s">
        <v>4199</v>
      </c>
      <c r="AV110" s="12" t="s">
        <v>433</v>
      </c>
      <c r="AW110" s="12"/>
      <c r="AX110" s="12"/>
      <c r="AY110" s="12"/>
      <c r="AZ110" s="12"/>
      <c r="BA110" s="28" t="s">
        <v>4072</v>
      </c>
      <c r="BB110" s="12"/>
      <c r="BC110" s="12"/>
      <c r="BD110" s="12" t="s">
        <v>404</v>
      </c>
      <c r="BE110" s="12"/>
      <c r="BF110" s="12" t="s">
        <v>536</v>
      </c>
      <c r="BG110" s="12"/>
      <c r="BH110" s="12"/>
      <c r="BI110" s="12"/>
      <c r="BJ110" s="12"/>
      <c r="BK110" s="12" t="s">
        <v>1356</v>
      </c>
      <c r="BL110" s="12"/>
      <c r="BM110" s="12" t="s">
        <v>1329</v>
      </c>
      <c r="BN110" s="12"/>
      <c r="BO110" s="12" t="s">
        <v>1121</v>
      </c>
      <c r="BP110" s="12"/>
      <c r="BQ110" s="12" t="s">
        <v>536</v>
      </c>
      <c r="BR110" s="12"/>
      <c r="BS110" s="12"/>
      <c r="BT110" s="12" t="s">
        <v>536</v>
      </c>
      <c r="BU110" s="12"/>
      <c r="BV110" s="12"/>
      <c r="BW110" s="67" t="s">
        <v>1156</v>
      </c>
      <c r="BX110" s="67" t="s">
        <v>1156</v>
      </c>
      <c r="BY110" s="67"/>
      <c r="BZ110" s="67" t="s">
        <v>536</v>
      </c>
      <c r="CA110" s="67" t="s">
        <v>536</v>
      </c>
      <c r="CB110" s="67"/>
      <c r="CC110" s="67" t="s">
        <v>536</v>
      </c>
      <c r="CD110" s="67" t="s">
        <v>1352</v>
      </c>
      <c r="CE110" s="67"/>
      <c r="CF110" s="67" t="s">
        <v>1353</v>
      </c>
      <c r="CG110" s="67" t="s">
        <v>536</v>
      </c>
      <c r="CH110" s="67" t="s">
        <v>536</v>
      </c>
      <c r="CI110" s="67" t="s">
        <v>536</v>
      </c>
      <c r="CJ110" s="67"/>
      <c r="CK110" s="67"/>
      <c r="CL110" s="67"/>
      <c r="CM110" s="67" t="s">
        <v>455</v>
      </c>
      <c r="CN110" s="67"/>
      <c r="CO110" s="67"/>
      <c r="CP110" s="67" t="s">
        <v>404</v>
      </c>
      <c r="CQ110" s="67"/>
      <c r="CR110" s="67" t="s">
        <v>536</v>
      </c>
      <c r="CS110" s="67"/>
      <c r="CT110" s="67"/>
      <c r="CU110" s="67"/>
      <c r="CV110" s="67"/>
      <c r="CW110" s="67"/>
      <c r="CX110" s="67"/>
      <c r="CY110" s="67"/>
      <c r="CZ110" s="67"/>
      <c r="DA110" s="67"/>
      <c r="DB110" s="67"/>
      <c r="DC110" s="67"/>
      <c r="DD110" s="67"/>
      <c r="DE110" s="67"/>
      <c r="DF110" s="67"/>
      <c r="DG110" s="67"/>
      <c r="DH110" s="67"/>
      <c r="DI110" s="67"/>
      <c r="DJ110" s="67"/>
      <c r="DK110" s="67"/>
      <c r="DL110" s="67"/>
      <c r="DM110" s="67"/>
      <c r="DN110" s="67"/>
      <c r="DO110" s="67"/>
      <c r="DP110" s="67"/>
      <c r="DQ110" s="67"/>
      <c r="DR110" s="67"/>
      <c r="DS110" s="67"/>
      <c r="DT110" s="67"/>
      <c r="DU110" s="67"/>
      <c r="DV110" s="67"/>
      <c r="DW110" s="67"/>
      <c r="DX110" s="67" t="s">
        <v>1156</v>
      </c>
      <c r="DY110" s="67" t="s">
        <v>5562</v>
      </c>
      <c r="DZ110" s="67"/>
      <c r="EA110" s="67"/>
      <c r="EB110" s="67"/>
      <c r="EC110" s="67"/>
      <c r="ED110" s="67"/>
      <c r="EE110" s="67"/>
      <c r="EF110" s="67"/>
      <c r="EG110" s="67"/>
      <c r="EH110" s="67">
        <v>39</v>
      </c>
      <c r="EN110" s="368" t="s">
        <v>5563</v>
      </c>
    </row>
    <row r="111" spans="1:144" x14ac:dyDescent="0.2">
      <c r="AJ111" s="12"/>
      <c r="AK111" s="12"/>
      <c r="AL111" s="12"/>
      <c r="AM111" s="12"/>
      <c r="AN111" s="12"/>
      <c r="AO111" s="12"/>
      <c r="AP111" s="12"/>
      <c r="AQ111" s="12"/>
      <c r="AR111" s="12"/>
      <c r="AS111" s="12"/>
      <c r="AT111" s="12"/>
      <c r="AU111" s="12"/>
      <c r="AV111" s="12" t="s">
        <v>472</v>
      </c>
      <c r="AW111" s="12"/>
      <c r="AX111" s="12"/>
      <c r="AY111" s="12"/>
      <c r="AZ111" s="12"/>
      <c r="BA111" s="12"/>
      <c r="BB111" s="12"/>
      <c r="BC111" s="12"/>
      <c r="BD111" s="12" t="s">
        <v>1357</v>
      </c>
      <c r="BE111" s="12"/>
      <c r="BF111" s="12" t="s">
        <v>1354</v>
      </c>
      <c r="BG111" s="12"/>
      <c r="BH111" s="12"/>
      <c r="BI111" s="12"/>
      <c r="BJ111" s="12"/>
      <c r="BK111" s="12" t="s">
        <v>1358</v>
      </c>
      <c r="BL111" s="12"/>
      <c r="BM111" s="12" t="s">
        <v>536</v>
      </c>
      <c r="BN111" s="12"/>
      <c r="BO111" s="12"/>
      <c r="BP111" s="12"/>
      <c r="BQ111" s="12" t="s">
        <v>1354</v>
      </c>
      <c r="BR111" s="12"/>
      <c r="BS111" s="12"/>
      <c r="BT111" s="12" t="s">
        <v>1354</v>
      </c>
      <c r="BU111" s="12"/>
      <c r="BV111" s="12"/>
      <c r="BW111" s="67" t="s">
        <v>597</v>
      </c>
      <c r="BX111" s="67" t="s">
        <v>597</v>
      </c>
      <c r="BY111" s="67"/>
      <c r="BZ111" s="67" t="s">
        <v>1354</v>
      </c>
      <c r="CA111" s="67" t="s">
        <v>1354</v>
      </c>
      <c r="CB111" s="67"/>
      <c r="CC111" s="67" t="s">
        <v>1354</v>
      </c>
      <c r="CD111" s="67" t="s">
        <v>1355</v>
      </c>
      <c r="CE111" s="67"/>
      <c r="CF111" s="67" t="s">
        <v>1356</v>
      </c>
      <c r="CG111" s="67" t="s">
        <v>1354</v>
      </c>
      <c r="CH111" s="67" t="s">
        <v>1354</v>
      </c>
      <c r="CI111" s="67" t="s">
        <v>1354</v>
      </c>
      <c r="CJ111" s="67"/>
      <c r="CK111" s="67"/>
      <c r="CL111" s="67"/>
      <c r="CM111" s="67" t="s">
        <v>433</v>
      </c>
      <c r="CN111" s="67"/>
      <c r="CO111" s="67"/>
      <c r="CP111" s="67" t="s">
        <v>1357</v>
      </c>
      <c r="CQ111" s="67"/>
      <c r="CR111" s="67" t="s">
        <v>659</v>
      </c>
      <c r="CS111" s="67"/>
      <c r="CT111" s="67"/>
      <c r="CU111" s="67"/>
      <c r="CV111" s="67"/>
      <c r="CW111" s="67"/>
      <c r="CX111" s="67"/>
      <c r="CY111" s="67"/>
      <c r="CZ111" s="67"/>
      <c r="DA111" s="67"/>
      <c r="DB111" s="67"/>
      <c r="DC111" s="67"/>
      <c r="DD111" s="67"/>
      <c r="DE111" s="67"/>
      <c r="DF111" s="67"/>
      <c r="DG111" s="67"/>
      <c r="DH111" s="67"/>
      <c r="DI111" s="67"/>
      <c r="DJ111" s="67"/>
      <c r="DK111" s="67"/>
      <c r="DL111" s="67"/>
      <c r="DM111" s="67"/>
      <c r="DN111" s="67"/>
      <c r="DO111" s="67"/>
      <c r="DP111" s="67"/>
      <c r="DQ111" s="67"/>
      <c r="DR111" s="67"/>
      <c r="DS111" s="67"/>
      <c r="DT111" s="67"/>
      <c r="DU111" s="67"/>
      <c r="DV111" s="67"/>
      <c r="DW111" s="67"/>
      <c r="DX111" s="67"/>
      <c r="DY111" s="67" t="s">
        <v>659</v>
      </c>
      <c r="DZ111" s="67"/>
      <c r="EA111" s="67"/>
      <c r="EB111" s="67"/>
      <c r="EC111" s="67"/>
      <c r="ED111" s="67"/>
      <c r="EE111" s="67"/>
      <c r="EF111" s="67"/>
      <c r="EG111" s="67"/>
      <c r="EH111" s="67">
        <v>40</v>
      </c>
      <c r="EN111" s="369" t="s">
        <v>1342</v>
      </c>
    </row>
    <row r="112" spans="1:144" x14ac:dyDescent="0.2">
      <c r="AJ112" s="12"/>
      <c r="AK112" s="12"/>
      <c r="AL112" s="12"/>
      <c r="AM112" s="12"/>
      <c r="AN112" s="12"/>
      <c r="AO112" s="12"/>
      <c r="AP112" s="12"/>
      <c r="AQ112" s="12"/>
      <c r="AR112" s="12"/>
      <c r="AS112" s="12"/>
      <c r="AT112" s="12"/>
      <c r="AU112" s="12"/>
      <c r="AV112" s="12" t="s">
        <v>1207</v>
      </c>
      <c r="AW112" s="12"/>
      <c r="AX112" s="12"/>
      <c r="AY112" s="12"/>
      <c r="AZ112" s="12"/>
      <c r="BA112" s="12"/>
      <c r="BB112" s="12"/>
      <c r="BC112" s="12"/>
      <c r="BD112" s="12" t="s">
        <v>597</v>
      </c>
      <c r="BE112" s="12"/>
      <c r="BF112" s="12" t="s">
        <v>659</v>
      </c>
      <c r="BG112" s="12"/>
      <c r="BH112" s="12"/>
      <c r="BI112" s="12"/>
      <c r="BJ112" s="12"/>
      <c r="BK112" s="12" t="s">
        <v>1359</v>
      </c>
      <c r="BL112" s="12"/>
      <c r="BM112" s="12" t="s">
        <v>1354</v>
      </c>
      <c r="BN112" s="12"/>
      <c r="BO112" s="12"/>
      <c r="BP112" s="12"/>
      <c r="BQ112" s="12" t="s">
        <v>659</v>
      </c>
      <c r="BR112" s="12"/>
      <c r="BS112" s="12"/>
      <c r="BT112" s="12" t="s">
        <v>659</v>
      </c>
      <c r="BU112" s="12"/>
      <c r="BV112" s="12"/>
      <c r="BW112" s="67"/>
      <c r="BX112" s="67"/>
      <c r="BY112" s="67"/>
      <c r="BZ112" s="67" t="s">
        <v>659</v>
      </c>
      <c r="CA112" s="67" t="s">
        <v>659</v>
      </c>
      <c r="CB112" s="67"/>
      <c r="CC112" s="67" t="s">
        <v>659</v>
      </c>
      <c r="CD112" s="67"/>
      <c r="CE112" s="67"/>
      <c r="CF112" s="67" t="s">
        <v>1358</v>
      </c>
      <c r="CG112" s="67" t="s">
        <v>659</v>
      </c>
      <c r="CH112" s="67" t="s">
        <v>659</v>
      </c>
      <c r="CI112" s="67" t="s">
        <v>659</v>
      </c>
      <c r="CJ112" s="67"/>
      <c r="CK112" s="67"/>
      <c r="CL112" s="67"/>
      <c r="CM112" s="67" t="s">
        <v>472</v>
      </c>
      <c r="CN112" s="67"/>
      <c r="CO112" s="67"/>
      <c r="CP112" s="67" t="s">
        <v>597</v>
      </c>
      <c r="CQ112" s="67"/>
      <c r="CR112" s="67" t="s">
        <v>1121</v>
      </c>
      <c r="CS112" s="67"/>
      <c r="CT112" s="67"/>
      <c r="CU112" s="67"/>
      <c r="CV112" s="67"/>
      <c r="CW112" s="67"/>
      <c r="CX112" s="67"/>
      <c r="CY112" s="67"/>
      <c r="CZ112" s="67"/>
      <c r="DA112" s="67"/>
      <c r="DB112" s="67"/>
      <c r="DC112" s="67"/>
      <c r="DD112" s="67"/>
      <c r="DE112" s="67"/>
      <c r="DF112" s="67"/>
      <c r="DG112" s="67"/>
      <c r="DH112" s="67"/>
      <c r="DI112" s="67"/>
      <c r="DJ112" s="67"/>
      <c r="DK112" s="67"/>
      <c r="DL112" s="67"/>
      <c r="DM112" s="67"/>
      <c r="DN112" s="67"/>
      <c r="DO112" s="67"/>
      <c r="DP112" s="67"/>
      <c r="DQ112" s="67"/>
      <c r="DR112" s="67"/>
      <c r="DS112" s="67"/>
      <c r="DT112" s="67"/>
      <c r="DU112" s="67"/>
      <c r="DV112" s="67"/>
      <c r="DW112" s="67"/>
      <c r="DX112" s="67"/>
      <c r="DY112" s="67" t="s">
        <v>5563</v>
      </c>
      <c r="DZ112" s="67"/>
      <c r="EA112" s="67"/>
      <c r="EB112" s="67"/>
      <c r="EC112" s="67"/>
      <c r="ED112" s="67"/>
      <c r="EE112" s="67"/>
      <c r="EF112" s="67"/>
      <c r="EG112" s="67"/>
      <c r="EH112" s="67">
        <v>41</v>
      </c>
    </row>
    <row r="113" spans="36:138" x14ac:dyDescent="0.2">
      <c r="AJ113" s="12"/>
      <c r="AK113" s="12"/>
      <c r="AL113" s="12"/>
      <c r="AM113" s="12"/>
      <c r="AN113" s="12"/>
      <c r="AO113" s="12"/>
      <c r="AP113" s="12"/>
      <c r="AQ113" s="12"/>
      <c r="AR113" s="12"/>
      <c r="AS113" s="12"/>
      <c r="AT113" s="12"/>
      <c r="AU113" s="12"/>
      <c r="AV113" s="12" t="s">
        <v>1362</v>
      </c>
      <c r="AW113" s="12"/>
      <c r="AX113" s="12"/>
      <c r="AY113" s="12"/>
      <c r="AZ113" s="12"/>
      <c r="BA113" s="12"/>
      <c r="BB113" s="12"/>
      <c r="BC113" s="12"/>
      <c r="BD113" s="69" t="s">
        <v>4142</v>
      </c>
      <c r="BE113" s="12"/>
      <c r="BF113" s="12" t="s">
        <v>1156</v>
      </c>
      <c r="BG113" s="12"/>
      <c r="BH113" s="12"/>
      <c r="BI113" s="12"/>
      <c r="BJ113" s="12"/>
      <c r="BK113" s="12" t="s">
        <v>1361</v>
      </c>
      <c r="BL113" s="12"/>
      <c r="BM113" s="12" t="s">
        <v>659</v>
      </c>
      <c r="BN113" s="12"/>
      <c r="BO113" s="12"/>
      <c r="BP113" s="12"/>
      <c r="BQ113" s="12" t="s">
        <v>1156</v>
      </c>
      <c r="BR113" s="12"/>
      <c r="BS113" s="12"/>
      <c r="BT113" s="12" t="s">
        <v>1156</v>
      </c>
      <c r="BU113" s="12"/>
      <c r="BV113" s="12"/>
      <c r="BW113" s="67"/>
      <c r="BX113" s="67"/>
      <c r="BY113" s="67"/>
      <c r="BZ113" s="67" t="s">
        <v>1156</v>
      </c>
      <c r="CA113" s="67" t="s">
        <v>1156</v>
      </c>
      <c r="CB113" s="67"/>
      <c r="CC113" s="67" t="s">
        <v>1156</v>
      </c>
      <c r="CD113" s="67"/>
      <c r="CE113" s="67"/>
      <c r="CF113" s="67" t="s">
        <v>1359</v>
      </c>
      <c r="CG113" s="67" t="s">
        <v>1156</v>
      </c>
      <c r="CH113" s="67" t="s">
        <v>1156</v>
      </c>
      <c r="CI113" s="67" t="s">
        <v>1156</v>
      </c>
      <c r="CJ113" s="67"/>
      <c r="CK113" s="67"/>
      <c r="CL113" s="67"/>
      <c r="CM113" s="67" t="s">
        <v>1207</v>
      </c>
      <c r="CN113" s="67"/>
      <c r="CO113" s="67"/>
      <c r="CP113" s="67"/>
      <c r="CQ113" s="67"/>
      <c r="CR113" s="67" t="s">
        <v>1360</v>
      </c>
      <c r="CS113" s="67"/>
      <c r="CT113" s="67"/>
      <c r="CU113" s="67"/>
      <c r="CV113" s="67"/>
      <c r="CW113" s="67"/>
      <c r="CX113" s="67"/>
      <c r="CY113" s="67"/>
      <c r="CZ113" s="67"/>
      <c r="DA113" s="67"/>
      <c r="DB113" s="67"/>
      <c r="DC113" s="67"/>
      <c r="DD113" s="67"/>
      <c r="DE113" s="67"/>
      <c r="DF113" s="67"/>
      <c r="DG113" s="67"/>
      <c r="DH113" s="67"/>
      <c r="DI113" s="67"/>
      <c r="DJ113" s="67"/>
      <c r="DK113" s="67"/>
      <c r="DL113" s="67"/>
      <c r="DM113" s="67"/>
      <c r="DN113" s="67"/>
      <c r="DO113" s="67"/>
      <c r="DP113" s="67"/>
      <c r="DQ113" s="67"/>
      <c r="DR113" s="67"/>
      <c r="DS113" s="67"/>
      <c r="DT113" s="67"/>
      <c r="DU113" s="67"/>
      <c r="DV113" s="67"/>
      <c r="DW113" s="67"/>
      <c r="DX113" s="67"/>
      <c r="DY113" s="67" t="s">
        <v>1342</v>
      </c>
      <c r="DZ113" s="67"/>
      <c r="EA113" s="67"/>
      <c r="EB113" s="67"/>
      <c r="EC113" s="67"/>
      <c r="ED113" s="67"/>
      <c r="EE113" s="67"/>
      <c r="EF113" s="67"/>
      <c r="EG113" s="67"/>
      <c r="EH113" s="67">
        <v>42</v>
      </c>
    </row>
    <row r="114" spans="36:138" x14ac:dyDescent="0.2">
      <c r="AJ114" s="12"/>
      <c r="AK114" s="12"/>
      <c r="AL114" s="12"/>
      <c r="AM114" s="12"/>
      <c r="AN114" s="12"/>
      <c r="AO114" s="12"/>
      <c r="AP114" s="12"/>
      <c r="AQ114" s="12"/>
      <c r="AR114" s="12"/>
      <c r="AS114" s="12"/>
      <c r="AT114" s="12"/>
      <c r="AU114" s="12"/>
      <c r="AV114" s="12" t="s">
        <v>1365</v>
      </c>
      <c r="AW114" s="12"/>
      <c r="AX114" s="12"/>
      <c r="AY114" s="12"/>
      <c r="AZ114" s="12"/>
      <c r="BA114" s="12"/>
      <c r="BB114" s="12"/>
      <c r="BC114" s="12"/>
      <c r="BD114" s="69" t="s">
        <v>4143</v>
      </c>
      <c r="BE114" s="12"/>
      <c r="BF114" s="12" t="s">
        <v>1121</v>
      </c>
      <c r="BG114" s="12"/>
      <c r="BH114" s="12"/>
      <c r="BI114" s="12"/>
      <c r="BJ114" s="12"/>
      <c r="BK114" s="12" t="s">
        <v>1364</v>
      </c>
      <c r="BL114" s="12"/>
      <c r="BM114" s="12" t="s">
        <v>1156</v>
      </c>
      <c r="BN114" s="12"/>
      <c r="BO114" s="12"/>
      <c r="BP114" s="12"/>
      <c r="BQ114" s="12" t="s">
        <v>1121</v>
      </c>
      <c r="BR114" s="12"/>
      <c r="BS114" s="12"/>
      <c r="BT114" s="12" t="s">
        <v>1121</v>
      </c>
      <c r="BU114" s="12"/>
      <c r="BV114" s="12"/>
      <c r="BW114" s="67"/>
      <c r="BX114" s="67"/>
      <c r="BY114" s="67"/>
      <c r="BZ114" s="67" t="s">
        <v>1121</v>
      </c>
      <c r="CA114" s="67" t="s">
        <v>1121</v>
      </c>
      <c r="CB114" s="67"/>
      <c r="CC114" s="67" t="s">
        <v>1121</v>
      </c>
      <c r="CD114" s="67"/>
      <c r="CE114" s="67"/>
      <c r="CF114" s="67" t="s">
        <v>1361</v>
      </c>
      <c r="CG114" s="67" t="s">
        <v>1121</v>
      </c>
      <c r="CH114" s="67" t="s">
        <v>1121</v>
      </c>
      <c r="CI114" s="67" t="s">
        <v>1121</v>
      </c>
      <c r="CJ114" s="67"/>
      <c r="CK114" s="67"/>
      <c r="CL114" s="67"/>
      <c r="CM114" s="67" t="s">
        <v>1362</v>
      </c>
      <c r="CN114" s="67"/>
      <c r="CO114" s="67"/>
      <c r="CP114" s="67"/>
      <c r="CQ114" s="67"/>
      <c r="CR114" s="67" t="s">
        <v>1363</v>
      </c>
      <c r="CS114" s="67"/>
      <c r="CT114" s="67"/>
      <c r="CU114" s="67"/>
      <c r="CV114" s="67"/>
      <c r="CW114" s="67"/>
      <c r="CX114" s="67"/>
      <c r="CY114" s="67"/>
      <c r="CZ114" s="67"/>
      <c r="DA114" s="67"/>
      <c r="DB114" s="67"/>
      <c r="DC114" s="67"/>
      <c r="DD114" s="67"/>
      <c r="DE114" s="67"/>
      <c r="DF114" s="67"/>
      <c r="DG114" s="67"/>
      <c r="DH114" s="67"/>
      <c r="DI114" s="67"/>
      <c r="DJ114" s="67"/>
      <c r="DK114" s="67"/>
      <c r="DL114" s="67"/>
      <c r="DM114" s="67"/>
      <c r="DN114" s="67"/>
      <c r="DO114" s="67"/>
      <c r="DP114" s="67"/>
      <c r="DQ114" s="67"/>
      <c r="DR114" s="67"/>
      <c r="DS114" s="67"/>
      <c r="DT114" s="67"/>
      <c r="DU114" s="67"/>
      <c r="DV114" s="67"/>
      <c r="DW114" s="67"/>
      <c r="DX114" s="67"/>
      <c r="DY114" s="67"/>
      <c r="DZ114" s="67"/>
      <c r="EA114" s="67"/>
      <c r="EB114" s="67"/>
      <c r="EC114" s="67"/>
      <c r="ED114" s="67"/>
      <c r="EE114" s="67"/>
      <c r="EF114" s="67"/>
      <c r="EG114" s="67"/>
      <c r="EH114" s="67">
        <v>43</v>
      </c>
    </row>
    <row r="115" spans="36:138" x14ac:dyDescent="0.2">
      <c r="AJ115" s="12"/>
      <c r="AK115" s="12"/>
      <c r="AL115" s="12"/>
      <c r="AM115" s="12"/>
      <c r="AN115" s="12"/>
      <c r="AO115" s="12"/>
      <c r="AP115" s="12"/>
      <c r="AQ115" s="12"/>
      <c r="AR115" s="12"/>
      <c r="AS115" s="12"/>
      <c r="AT115" s="12"/>
      <c r="AU115" s="12"/>
      <c r="AV115" s="12" t="s">
        <v>1121</v>
      </c>
      <c r="AW115" s="12"/>
      <c r="AX115" s="12"/>
      <c r="AY115" s="12"/>
      <c r="AZ115" s="12"/>
      <c r="BA115" s="12"/>
      <c r="BB115" s="12"/>
      <c r="BC115" s="12"/>
      <c r="BD115" s="12"/>
      <c r="BE115" s="12"/>
      <c r="BF115" s="12"/>
      <c r="BG115" s="12"/>
      <c r="BH115" s="12"/>
      <c r="BI115" s="12"/>
      <c r="BJ115" s="12"/>
      <c r="BK115" s="12"/>
      <c r="BL115" s="12"/>
      <c r="BM115" s="12" t="s">
        <v>1121</v>
      </c>
      <c r="BN115" s="12"/>
      <c r="BO115" s="12"/>
      <c r="BP115" s="12"/>
      <c r="BQ115" s="12"/>
      <c r="BR115" s="12"/>
      <c r="BS115" s="12"/>
      <c r="BT115" s="12"/>
      <c r="BU115" s="12"/>
      <c r="BV115" s="12"/>
      <c r="BW115" s="67"/>
      <c r="BX115" s="67"/>
      <c r="BY115" s="67"/>
      <c r="BZ115" s="67"/>
      <c r="CA115" s="67"/>
      <c r="CB115" s="67"/>
      <c r="CC115" s="67"/>
      <c r="CD115" s="67"/>
      <c r="CE115" s="67"/>
      <c r="CF115" s="67" t="s">
        <v>1364</v>
      </c>
      <c r="CG115" s="67"/>
      <c r="CH115" s="67"/>
      <c r="CI115" s="67"/>
      <c r="CJ115" s="67"/>
      <c r="CK115" s="67"/>
      <c r="CL115" s="67"/>
      <c r="CM115" s="67" t="s">
        <v>1365</v>
      </c>
      <c r="CN115" s="67"/>
      <c r="CO115" s="67"/>
      <c r="CP115" s="67"/>
      <c r="CQ115" s="67"/>
      <c r="CR115" s="67" t="s">
        <v>1366</v>
      </c>
      <c r="CS115" s="67"/>
      <c r="CT115" s="67"/>
      <c r="CU115" s="67"/>
      <c r="CV115" s="67"/>
      <c r="CW115" s="67"/>
      <c r="CX115" s="67"/>
      <c r="CY115" s="67"/>
      <c r="CZ115" s="67"/>
      <c r="DA115" s="67"/>
      <c r="DB115" s="67"/>
      <c r="DC115" s="67"/>
      <c r="DD115" s="67"/>
      <c r="DE115" s="67"/>
      <c r="DF115" s="67"/>
      <c r="DG115" s="67"/>
      <c r="DH115" s="67"/>
      <c r="DI115" s="67"/>
      <c r="DJ115" s="67"/>
      <c r="DK115" s="67"/>
      <c r="DL115" s="67"/>
      <c r="DM115" s="67"/>
      <c r="DN115" s="67"/>
      <c r="DO115" s="67"/>
      <c r="DP115" s="67"/>
      <c r="DQ115" s="67"/>
      <c r="DR115" s="67"/>
      <c r="DS115" s="67"/>
      <c r="DT115" s="67"/>
      <c r="DU115" s="67"/>
      <c r="DV115" s="67"/>
      <c r="DW115" s="67"/>
      <c r="DX115" s="67"/>
      <c r="DY115" s="67"/>
      <c r="DZ115" s="67"/>
      <c r="EA115" s="67"/>
      <c r="EB115" s="67"/>
      <c r="EC115" s="67"/>
      <c r="ED115" s="67"/>
      <c r="EE115" s="67"/>
      <c r="EF115" s="67"/>
      <c r="EG115" s="67"/>
      <c r="EH115" s="67">
        <v>44</v>
      </c>
    </row>
    <row r="116" spans="36:138" x14ac:dyDescent="0.2">
      <c r="AJ116" s="12"/>
      <c r="AK116" s="12"/>
      <c r="AL116" s="12"/>
      <c r="AM116" s="12"/>
      <c r="AN116" s="12"/>
      <c r="AO116" s="12"/>
      <c r="AP116" s="12"/>
      <c r="AQ116" s="12"/>
      <c r="AR116" s="12"/>
      <c r="AS116" s="12"/>
      <c r="AT116" s="12"/>
      <c r="AU116" s="12"/>
      <c r="AV116" s="12" t="s">
        <v>4199</v>
      </c>
      <c r="AW116" s="12"/>
      <c r="AX116" s="12"/>
      <c r="AY116" s="12"/>
      <c r="AZ116" s="12"/>
      <c r="BA116" s="12"/>
      <c r="BB116" s="12"/>
      <c r="BC116" s="12"/>
      <c r="BD116" s="12"/>
      <c r="BE116" s="12"/>
      <c r="BF116" s="12"/>
      <c r="BG116" s="12"/>
      <c r="BH116" s="12"/>
      <c r="BI116" s="12"/>
      <c r="BJ116" s="12"/>
      <c r="BK116" s="12"/>
      <c r="BL116" s="12"/>
      <c r="BM116" s="12"/>
      <c r="BN116" s="12"/>
      <c r="BO116" s="12"/>
      <c r="BP116" s="12"/>
      <c r="BQ116" s="12"/>
      <c r="BR116" s="12"/>
      <c r="BS116" s="12"/>
      <c r="BT116" s="12"/>
      <c r="BU116" s="12"/>
      <c r="BV116" s="12"/>
      <c r="BW116" s="67"/>
      <c r="BX116" s="67"/>
      <c r="BY116" s="67"/>
      <c r="BZ116" s="67"/>
      <c r="CA116" s="67"/>
      <c r="CB116" s="67"/>
      <c r="CC116" s="67"/>
      <c r="CD116" s="67"/>
      <c r="CE116" s="67"/>
      <c r="CF116" s="67"/>
      <c r="CG116" s="67"/>
      <c r="CH116" s="67"/>
      <c r="CI116" s="67"/>
      <c r="CJ116" s="67"/>
      <c r="CK116" s="67"/>
      <c r="CL116" s="67"/>
      <c r="CM116" s="67" t="s">
        <v>1121</v>
      </c>
      <c r="CN116" s="67"/>
      <c r="CO116" s="67"/>
      <c r="CP116" s="67"/>
      <c r="CQ116" s="67"/>
      <c r="CR116" s="67" t="s">
        <v>1367</v>
      </c>
      <c r="CS116" s="67"/>
      <c r="CT116" s="67"/>
      <c r="CU116" s="67"/>
      <c r="CV116" s="67"/>
      <c r="CW116" s="67"/>
      <c r="CX116" s="67"/>
      <c r="CY116" s="67"/>
      <c r="CZ116" s="67"/>
      <c r="DA116" s="67"/>
      <c r="DB116" s="67"/>
      <c r="DC116" s="67"/>
      <c r="DD116" s="67"/>
      <c r="DE116" s="67"/>
      <c r="DF116" s="67"/>
      <c r="DG116" s="67"/>
      <c r="DH116" s="67"/>
      <c r="DI116" s="67"/>
      <c r="DJ116" s="67"/>
      <c r="DK116" s="67"/>
      <c r="DL116" s="67"/>
      <c r="DM116" s="67"/>
      <c r="DN116" s="67"/>
      <c r="DO116" s="67"/>
      <c r="DP116" s="67"/>
      <c r="DQ116" s="67"/>
      <c r="DR116" s="67"/>
      <c r="DS116" s="67"/>
      <c r="DT116" s="67"/>
      <c r="DU116" s="67"/>
      <c r="DV116" s="67"/>
      <c r="DW116" s="67"/>
      <c r="DX116" s="67"/>
      <c r="DY116" s="67"/>
      <c r="DZ116" s="67"/>
      <c r="EA116" s="67"/>
      <c r="EB116" s="67"/>
      <c r="EC116" s="67"/>
      <c r="ED116" s="67"/>
      <c r="EE116" s="67"/>
      <c r="EF116" s="67"/>
      <c r="EG116" s="67"/>
      <c r="EH116" s="67">
        <v>45</v>
      </c>
    </row>
    <row r="117" spans="36:138" x14ac:dyDescent="0.2">
      <c r="AJ117" s="12"/>
      <c r="AK117" s="12"/>
      <c r="AL117" s="12"/>
      <c r="AM117" s="12"/>
      <c r="AN117" s="12"/>
      <c r="AO117" s="12"/>
      <c r="AP117" s="12"/>
      <c r="AQ117" s="12"/>
      <c r="AR117" s="12"/>
      <c r="AS117" s="12"/>
      <c r="AT117" s="12"/>
      <c r="AU117" s="12"/>
      <c r="AV117" s="12"/>
      <c r="AW117" s="12"/>
      <c r="AX117" s="12"/>
      <c r="AY117" s="12"/>
      <c r="AZ117" s="12"/>
      <c r="BA117" s="12"/>
      <c r="BB117" s="12"/>
      <c r="BC117" s="12"/>
      <c r="BD117" s="12"/>
      <c r="BE117" s="12"/>
      <c r="BF117" s="12"/>
      <c r="BG117" s="12"/>
      <c r="BH117" s="12"/>
      <c r="BI117" s="12"/>
      <c r="BJ117" s="12"/>
      <c r="BK117" s="12"/>
      <c r="BL117" s="12"/>
      <c r="BM117" s="12"/>
      <c r="BN117" s="12"/>
      <c r="BO117" s="12"/>
      <c r="BP117" s="12"/>
      <c r="BQ117" s="12"/>
      <c r="BR117" s="12"/>
      <c r="BS117" s="12"/>
      <c r="BT117" s="12"/>
      <c r="BU117" s="12"/>
      <c r="BV117" s="12"/>
      <c r="BW117" s="67"/>
      <c r="BX117" s="67"/>
      <c r="BY117" s="67"/>
      <c r="BZ117" s="67"/>
      <c r="CA117" s="67"/>
      <c r="CB117" s="67"/>
      <c r="CC117" s="67"/>
      <c r="CD117" s="67"/>
      <c r="CE117" s="67"/>
      <c r="CF117" s="67"/>
      <c r="CG117" s="67"/>
      <c r="CH117" s="67"/>
      <c r="CI117" s="67"/>
      <c r="CJ117" s="67"/>
      <c r="CK117" s="67"/>
      <c r="CL117" s="67"/>
      <c r="CM117" s="67"/>
      <c r="CN117" s="67"/>
      <c r="CO117" s="67"/>
      <c r="CP117" s="67"/>
      <c r="CQ117" s="67"/>
      <c r="CR117" s="67"/>
      <c r="CS117" s="67"/>
      <c r="CT117" s="67"/>
      <c r="CU117" s="67"/>
      <c r="CV117" s="67"/>
      <c r="CW117" s="67"/>
      <c r="CX117" s="67"/>
      <c r="CY117" s="67"/>
      <c r="CZ117" s="67"/>
      <c r="DA117" s="67"/>
      <c r="DB117" s="67"/>
      <c r="DC117" s="67"/>
      <c r="DD117" s="67"/>
      <c r="DE117" s="67"/>
      <c r="DF117" s="67"/>
      <c r="DG117" s="67"/>
      <c r="DH117" s="67"/>
      <c r="DI117" s="67"/>
      <c r="DJ117" s="67"/>
      <c r="DK117" s="67"/>
      <c r="DL117" s="67"/>
      <c r="DM117" s="67"/>
      <c r="DN117" s="67"/>
      <c r="DO117" s="67"/>
      <c r="DP117" s="67"/>
      <c r="DQ117" s="67"/>
      <c r="DR117" s="67"/>
      <c r="DS117" s="67"/>
      <c r="DT117" s="67"/>
      <c r="DU117" s="67"/>
      <c r="DV117" s="67"/>
      <c r="DW117" s="67"/>
      <c r="DX117" s="67"/>
      <c r="DY117" s="67"/>
      <c r="DZ117" s="67"/>
      <c r="EA117" s="67"/>
      <c r="EB117" s="67"/>
      <c r="EC117" s="67"/>
      <c r="ED117" s="67"/>
      <c r="EE117" s="67"/>
      <c r="EF117" s="67"/>
      <c r="EG117" s="67"/>
      <c r="EH117" s="67">
        <v>46</v>
      </c>
    </row>
    <row r="118" spans="36:138" x14ac:dyDescent="0.2">
      <c r="AJ118" s="12"/>
      <c r="AK118" s="12"/>
      <c r="AL118" s="12"/>
      <c r="AM118" s="12"/>
      <c r="AN118" s="12"/>
      <c r="AO118" s="12"/>
      <c r="AP118" s="12"/>
      <c r="AQ118" s="12"/>
      <c r="AR118" s="12"/>
      <c r="AS118" s="12"/>
      <c r="AT118" s="12"/>
      <c r="AU118" s="12"/>
      <c r="AV118" s="12"/>
      <c r="AW118" s="12"/>
      <c r="AX118" s="12"/>
      <c r="AY118" s="12"/>
      <c r="AZ118" s="12"/>
      <c r="BA118" s="12"/>
      <c r="BB118" s="12"/>
      <c r="BC118" s="12"/>
      <c r="BD118" s="12"/>
      <c r="BE118" s="12"/>
      <c r="BF118" s="12"/>
      <c r="BG118" s="12"/>
      <c r="BH118" s="12"/>
      <c r="BI118" s="12"/>
      <c r="BJ118" s="12"/>
      <c r="BK118" s="12"/>
      <c r="BL118" s="12"/>
      <c r="BM118" s="12"/>
      <c r="BN118" s="12"/>
      <c r="BO118" s="12"/>
      <c r="BP118" s="12"/>
      <c r="BQ118" s="12"/>
      <c r="BR118" s="12"/>
      <c r="BS118" s="12"/>
      <c r="BT118" s="12"/>
      <c r="BU118" s="12"/>
      <c r="BV118" s="12"/>
      <c r="BW118" s="67"/>
      <c r="BX118" s="67"/>
      <c r="BY118" s="67"/>
      <c r="BZ118" s="67"/>
      <c r="CA118" s="67"/>
      <c r="CB118" s="67"/>
      <c r="CC118" s="67"/>
      <c r="CD118" s="67"/>
      <c r="CE118" s="67"/>
      <c r="CF118" s="67"/>
      <c r="CG118" s="67"/>
      <c r="CH118" s="67"/>
      <c r="CI118" s="67"/>
      <c r="CJ118" s="67"/>
      <c r="CK118" s="67"/>
      <c r="CL118" s="67"/>
      <c r="CM118" s="67"/>
      <c r="CN118" s="67"/>
      <c r="CO118" s="67"/>
      <c r="CP118" s="67"/>
      <c r="CQ118" s="67"/>
      <c r="CR118" s="67"/>
      <c r="CS118" s="67"/>
      <c r="CT118" s="67"/>
      <c r="CU118" s="67"/>
      <c r="CV118" s="67"/>
      <c r="CW118" s="67"/>
      <c r="CX118" s="67"/>
      <c r="CY118" s="67"/>
      <c r="CZ118" s="67"/>
      <c r="DA118" s="67"/>
      <c r="DB118" s="67"/>
      <c r="DC118" s="67"/>
      <c r="DD118" s="67"/>
      <c r="DE118" s="67"/>
      <c r="DF118" s="67"/>
      <c r="DG118" s="67"/>
      <c r="DH118" s="67"/>
      <c r="DI118" s="67"/>
      <c r="DJ118" s="67"/>
      <c r="DK118" s="67"/>
      <c r="DL118" s="67"/>
      <c r="DM118" s="67"/>
      <c r="DN118" s="67"/>
      <c r="DO118" s="67"/>
      <c r="DP118" s="67"/>
      <c r="DQ118" s="67"/>
      <c r="DR118" s="67"/>
      <c r="DS118" s="67"/>
      <c r="DT118" s="67"/>
      <c r="DU118" s="67"/>
      <c r="DV118" s="67"/>
      <c r="DW118" s="67"/>
      <c r="DX118" s="67"/>
      <c r="DY118" s="67"/>
      <c r="DZ118" s="67"/>
      <c r="EA118" s="67"/>
      <c r="EB118" s="67"/>
      <c r="EC118" s="67"/>
      <c r="ED118" s="67"/>
      <c r="EE118" s="67"/>
      <c r="EF118" s="67"/>
      <c r="EG118" s="67"/>
      <c r="EH118" s="67">
        <v>47</v>
      </c>
    </row>
    <row r="119" spans="36:138" x14ac:dyDescent="0.2">
      <c r="AJ119" s="12"/>
      <c r="AK119" s="12"/>
      <c r="AL119" s="12"/>
      <c r="AM119" s="12"/>
      <c r="AN119" s="12"/>
      <c r="AO119" s="12"/>
      <c r="AP119" s="12"/>
      <c r="AQ119" s="12"/>
      <c r="AR119" s="12"/>
      <c r="AS119" s="12"/>
      <c r="AT119" s="12"/>
      <c r="AU119" s="12"/>
      <c r="AV119" s="12"/>
      <c r="AW119" s="12"/>
      <c r="AX119" s="12"/>
      <c r="AY119" s="12"/>
      <c r="AZ119" s="12"/>
      <c r="BA119" s="12"/>
      <c r="BB119" s="12"/>
      <c r="BC119" s="12"/>
      <c r="BD119" s="12"/>
      <c r="BE119" s="12"/>
      <c r="BF119" s="12"/>
      <c r="BG119" s="12"/>
      <c r="BH119" s="12"/>
      <c r="BI119" s="12"/>
      <c r="BJ119" s="12"/>
      <c r="BK119" s="12"/>
      <c r="BL119" s="12"/>
      <c r="BM119" s="12"/>
      <c r="BN119" s="12"/>
      <c r="BO119" s="12"/>
      <c r="BP119" s="12"/>
      <c r="BQ119" s="12"/>
      <c r="BR119" s="12"/>
      <c r="BS119" s="12"/>
      <c r="BT119" s="12"/>
      <c r="BU119" s="12"/>
      <c r="BV119" s="12"/>
      <c r="BW119" s="67"/>
      <c r="BX119" s="67"/>
      <c r="BY119" s="67"/>
      <c r="BZ119" s="67"/>
      <c r="CA119" s="67"/>
      <c r="CB119" s="67"/>
      <c r="CC119" s="67"/>
      <c r="CD119" s="67"/>
      <c r="CE119" s="67"/>
      <c r="CF119" s="67"/>
      <c r="CG119" s="67"/>
      <c r="CH119" s="67"/>
      <c r="CI119" s="67"/>
      <c r="CJ119" s="67"/>
      <c r="CK119" s="67"/>
      <c r="CL119" s="67"/>
      <c r="CM119" s="67"/>
      <c r="CN119" s="67"/>
      <c r="CO119" s="67"/>
      <c r="CP119" s="67"/>
      <c r="CQ119" s="67"/>
      <c r="CR119" s="67"/>
      <c r="CS119" s="67"/>
      <c r="CT119" s="67"/>
      <c r="CU119" s="67"/>
      <c r="CV119" s="67"/>
      <c r="CW119" s="67"/>
      <c r="CX119" s="67"/>
      <c r="CY119" s="67"/>
      <c r="CZ119" s="67"/>
      <c r="DA119" s="67"/>
      <c r="DB119" s="67"/>
      <c r="DC119" s="67"/>
      <c r="DD119" s="67"/>
      <c r="DE119" s="67"/>
      <c r="DF119" s="67"/>
      <c r="DG119" s="67"/>
      <c r="DH119" s="67"/>
      <c r="DI119" s="67"/>
      <c r="DJ119" s="67"/>
      <c r="DK119" s="67"/>
      <c r="DL119" s="67"/>
      <c r="DM119" s="67"/>
      <c r="DN119" s="67"/>
      <c r="DO119" s="67"/>
      <c r="DP119" s="67"/>
      <c r="DQ119" s="67"/>
      <c r="DR119" s="67"/>
      <c r="DS119" s="67"/>
      <c r="DT119" s="67"/>
      <c r="DU119" s="67"/>
      <c r="DV119" s="67"/>
      <c r="DW119" s="67"/>
      <c r="DX119" s="67"/>
      <c r="DY119" s="67"/>
      <c r="DZ119" s="67"/>
      <c r="EA119" s="67"/>
      <c r="EB119" s="67"/>
      <c r="EC119" s="67"/>
      <c r="ED119" s="67"/>
      <c r="EE119" s="67"/>
      <c r="EF119" s="67"/>
      <c r="EG119" s="67"/>
      <c r="EH119" s="67">
        <v>48</v>
      </c>
    </row>
    <row r="120" spans="36:138" x14ac:dyDescent="0.2">
      <c r="AJ120" s="12"/>
      <c r="AK120" s="12"/>
      <c r="AL120" s="12"/>
      <c r="AM120" s="12"/>
      <c r="AN120" s="12"/>
      <c r="AO120" s="12"/>
      <c r="AP120" s="12"/>
      <c r="AQ120" s="12"/>
      <c r="AR120" s="12"/>
      <c r="AS120" s="12"/>
      <c r="AT120" s="12"/>
      <c r="AU120" s="12"/>
      <c r="AV120" s="12"/>
      <c r="AW120" s="12"/>
      <c r="AX120" s="12"/>
      <c r="AY120" s="12"/>
      <c r="AZ120" s="12"/>
      <c r="BA120" s="12"/>
      <c r="BB120" s="12"/>
      <c r="BC120" s="12"/>
      <c r="BD120" s="12"/>
      <c r="BE120" s="12"/>
      <c r="BF120" s="12"/>
      <c r="BG120" s="12"/>
      <c r="BH120" s="12"/>
      <c r="BI120" s="12"/>
      <c r="BJ120" s="12"/>
      <c r="BK120" s="12"/>
      <c r="BL120" s="12"/>
      <c r="BM120" s="12"/>
      <c r="BN120" s="12"/>
      <c r="BO120" s="12"/>
      <c r="BP120" s="12"/>
      <c r="BQ120" s="12"/>
      <c r="BR120" s="12"/>
      <c r="BS120" s="12"/>
      <c r="BT120" s="12"/>
      <c r="BU120" s="12"/>
      <c r="BV120" s="12"/>
      <c r="BW120" s="67"/>
      <c r="BX120" s="67"/>
      <c r="BY120" s="67"/>
      <c r="BZ120" s="67"/>
      <c r="CA120" s="67"/>
      <c r="CB120" s="67"/>
      <c r="CC120" s="67"/>
      <c r="CD120" s="67"/>
      <c r="CE120" s="67"/>
      <c r="CF120" s="67"/>
      <c r="CG120" s="67"/>
      <c r="CH120" s="67"/>
      <c r="CI120" s="67"/>
      <c r="CJ120" s="67"/>
      <c r="CK120" s="67"/>
      <c r="CL120" s="67"/>
      <c r="CM120" s="67"/>
      <c r="CN120" s="67"/>
      <c r="CO120" s="67"/>
      <c r="CP120" s="67"/>
      <c r="CQ120" s="67"/>
      <c r="CR120" s="67"/>
      <c r="CS120" s="67"/>
      <c r="CT120" s="67"/>
      <c r="CU120" s="67"/>
      <c r="CV120" s="67"/>
      <c r="CW120" s="67"/>
      <c r="CX120" s="67"/>
      <c r="CY120" s="67"/>
      <c r="CZ120" s="67"/>
      <c r="DA120" s="67"/>
      <c r="DB120" s="67"/>
      <c r="DC120" s="67"/>
      <c r="DD120" s="67"/>
      <c r="DE120" s="67"/>
      <c r="DF120" s="67"/>
      <c r="DG120" s="67"/>
      <c r="DH120" s="67"/>
      <c r="DI120" s="67"/>
      <c r="DJ120" s="67"/>
      <c r="DK120" s="67"/>
      <c r="DL120" s="67"/>
      <c r="DM120" s="67"/>
      <c r="DN120" s="67"/>
      <c r="DO120" s="67"/>
      <c r="DP120" s="67"/>
      <c r="DQ120" s="67"/>
      <c r="DR120" s="67"/>
      <c r="DS120" s="67"/>
      <c r="DT120" s="67"/>
      <c r="DU120" s="67"/>
      <c r="DV120" s="67"/>
      <c r="DW120" s="67"/>
      <c r="DX120" s="67"/>
      <c r="DY120" s="67"/>
      <c r="DZ120" s="67"/>
      <c r="EA120" s="67"/>
      <c r="EB120" s="67"/>
      <c r="EC120" s="67"/>
      <c r="ED120" s="67"/>
      <c r="EE120" s="67"/>
      <c r="EF120" s="67"/>
    </row>
    <row r="121" spans="36:138" x14ac:dyDescent="0.2">
      <c r="AJ121" s="12"/>
      <c r="AK121" s="12"/>
      <c r="AL121" s="12"/>
      <c r="AM121" s="12"/>
      <c r="AN121" s="12"/>
      <c r="AO121" s="12"/>
      <c r="AP121" s="12"/>
      <c r="AQ121" s="12"/>
      <c r="AR121" s="12"/>
      <c r="AS121" s="12"/>
      <c r="AT121" s="12"/>
      <c r="AU121" s="12"/>
      <c r="AV121" s="12"/>
      <c r="AW121" s="12"/>
      <c r="AX121" s="12"/>
      <c r="AY121" s="12"/>
      <c r="AZ121" s="12"/>
      <c r="BA121" s="12"/>
      <c r="BB121" s="12"/>
      <c r="BC121" s="12"/>
      <c r="BD121" s="12"/>
      <c r="BE121" s="12"/>
      <c r="BF121" s="12"/>
      <c r="BG121" s="12"/>
      <c r="BH121" s="12"/>
      <c r="BI121" s="12"/>
      <c r="BJ121" s="12"/>
      <c r="BK121" s="12"/>
      <c r="BL121" s="12"/>
      <c r="BM121" s="12"/>
      <c r="BN121" s="12"/>
      <c r="BO121" s="12"/>
      <c r="BP121" s="12"/>
      <c r="BQ121" s="12"/>
      <c r="BR121" s="12"/>
      <c r="BS121" s="12"/>
      <c r="BT121" s="12"/>
      <c r="BU121" s="12"/>
      <c r="BV121" s="12"/>
      <c r="BW121" s="67"/>
      <c r="BX121" s="67"/>
      <c r="BY121" s="67"/>
      <c r="BZ121" s="67"/>
      <c r="CA121" s="67"/>
      <c r="CB121" s="67"/>
      <c r="CC121" s="67"/>
      <c r="CD121" s="67"/>
      <c r="CE121" s="67"/>
      <c r="CF121" s="67"/>
      <c r="CG121" s="67"/>
      <c r="CH121" s="67"/>
      <c r="CI121" s="67"/>
      <c r="CJ121" s="67"/>
      <c r="CK121" s="67"/>
      <c r="CL121" s="67"/>
      <c r="CM121" s="67"/>
      <c r="CN121" s="67"/>
      <c r="CO121" s="67"/>
      <c r="CP121" s="67"/>
      <c r="CQ121" s="67"/>
      <c r="CR121" s="67"/>
      <c r="CS121" s="67"/>
      <c r="CT121" s="67"/>
      <c r="CU121" s="67"/>
      <c r="CV121" s="67"/>
      <c r="CW121" s="67"/>
      <c r="CX121" s="67"/>
      <c r="CY121" s="67"/>
      <c r="CZ121" s="67"/>
      <c r="DA121" s="67"/>
      <c r="DB121" s="67"/>
      <c r="DC121" s="67"/>
      <c r="DD121" s="67"/>
      <c r="DE121" s="67"/>
      <c r="DF121" s="67"/>
      <c r="DG121" s="67"/>
      <c r="DH121" s="67"/>
      <c r="DI121" s="67"/>
      <c r="DJ121" s="67"/>
      <c r="DK121" s="67"/>
      <c r="DL121" s="67"/>
      <c r="DM121" s="67"/>
      <c r="DN121" s="67"/>
      <c r="DO121" s="67"/>
      <c r="DP121" s="67"/>
      <c r="DQ121" s="67"/>
      <c r="DR121" s="67"/>
      <c r="DS121" s="67"/>
      <c r="DT121" s="67"/>
      <c r="DU121" s="67"/>
      <c r="DV121" s="67"/>
      <c r="DW121" s="67"/>
      <c r="DX121" s="67"/>
      <c r="DY121" s="67"/>
      <c r="DZ121" s="67"/>
      <c r="EA121" s="67"/>
      <c r="EB121" s="67"/>
      <c r="EC121" s="67"/>
      <c r="ED121" s="67"/>
      <c r="EE121" s="67"/>
      <c r="EF121" s="67"/>
    </row>
    <row r="122" spans="36:138" x14ac:dyDescent="0.2">
      <c r="AJ122" s="12"/>
      <c r="AK122" s="12"/>
      <c r="AL122" s="12"/>
      <c r="AM122" s="12"/>
      <c r="AN122" s="12"/>
      <c r="AO122" s="12"/>
      <c r="AP122" s="12"/>
      <c r="AQ122" s="12"/>
      <c r="AR122" s="12"/>
      <c r="AS122" s="12"/>
      <c r="AT122" s="12"/>
      <c r="AU122" s="12"/>
      <c r="AV122" s="12"/>
      <c r="AW122" s="12"/>
      <c r="AX122" s="12"/>
      <c r="AY122" s="12"/>
      <c r="AZ122" s="12"/>
      <c r="BA122" s="12"/>
      <c r="BB122" s="12"/>
      <c r="BC122" s="12"/>
      <c r="BD122" s="12"/>
      <c r="BE122" s="12"/>
      <c r="BF122" s="12"/>
      <c r="BG122" s="12"/>
      <c r="BH122" s="12"/>
      <c r="BI122" s="12"/>
      <c r="BJ122" s="12"/>
      <c r="BK122" s="12"/>
      <c r="BL122" s="12"/>
      <c r="BM122" s="12"/>
      <c r="BN122" s="12"/>
      <c r="BO122" s="12"/>
      <c r="BP122" s="12"/>
      <c r="BQ122" s="12"/>
      <c r="BR122" s="12"/>
      <c r="BS122" s="12"/>
      <c r="BT122" s="12"/>
      <c r="BU122" s="12"/>
      <c r="BV122" s="12"/>
      <c r="BW122" s="67"/>
      <c r="BX122" s="67"/>
      <c r="BY122" s="67"/>
      <c r="BZ122" s="67"/>
      <c r="CA122" s="67"/>
      <c r="CB122" s="67"/>
      <c r="CC122" s="67"/>
      <c r="CD122" s="67"/>
      <c r="CE122" s="67"/>
      <c r="CF122" s="67"/>
      <c r="CG122" s="67"/>
      <c r="CH122" s="67"/>
      <c r="CI122" s="67"/>
      <c r="CJ122" s="67"/>
      <c r="CK122" s="67"/>
      <c r="CL122" s="67"/>
      <c r="CM122" s="67"/>
      <c r="CN122" s="67"/>
      <c r="CO122" s="67"/>
      <c r="CP122" s="67"/>
      <c r="CQ122" s="67"/>
      <c r="CR122" s="67"/>
      <c r="CS122" s="67"/>
      <c r="CT122" s="67"/>
      <c r="CU122" s="67"/>
      <c r="CV122" s="67"/>
      <c r="CW122" s="67"/>
      <c r="CX122" s="67"/>
      <c r="CY122" s="67"/>
      <c r="CZ122" s="67"/>
      <c r="DA122" s="67"/>
      <c r="DB122" s="67"/>
      <c r="DC122" s="67"/>
      <c r="DD122" s="67"/>
      <c r="DE122" s="67"/>
      <c r="DF122" s="67"/>
      <c r="DG122" s="67"/>
      <c r="DH122" s="67"/>
      <c r="DI122" s="67"/>
      <c r="DJ122" s="67"/>
      <c r="DK122" s="67"/>
      <c r="DL122" s="67"/>
      <c r="DM122" s="67"/>
      <c r="DN122" s="67"/>
      <c r="DO122" s="67"/>
      <c r="DP122" s="67"/>
      <c r="DQ122" s="67"/>
      <c r="DR122" s="67"/>
      <c r="DS122" s="67"/>
      <c r="DT122" s="67"/>
      <c r="DU122" s="67"/>
      <c r="DV122" s="67"/>
      <c r="DW122" s="67"/>
      <c r="DX122" s="67"/>
      <c r="DY122" s="67"/>
      <c r="DZ122" s="67"/>
      <c r="EA122" s="67"/>
      <c r="EB122" s="67"/>
      <c r="EC122" s="67"/>
      <c r="ED122" s="67"/>
      <c r="EE122" s="67"/>
      <c r="EF122" s="67"/>
    </row>
    <row r="123" spans="36:138" x14ac:dyDescent="0.2">
      <c r="AJ123" s="78" t="s">
        <v>173</v>
      </c>
      <c r="AK123" s="78" t="s">
        <v>4062</v>
      </c>
      <c r="AL123" s="78" t="s">
        <v>897</v>
      </c>
      <c r="AM123" s="78" t="s">
        <v>4747</v>
      </c>
      <c r="AN123" s="78" t="s">
        <v>876</v>
      </c>
      <c r="AO123" s="78" t="s">
        <v>4748</v>
      </c>
      <c r="AP123" s="78" t="s">
        <v>4749</v>
      </c>
      <c r="AQ123" s="78" t="s">
        <v>3942</v>
      </c>
      <c r="AR123" s="78" t="s">
        <v>4750</v>
      </c>
      <c r="AS123" s="78" t="s">
        <v>4751</v>
      </c>
      <c r="AT123" s="78" t="s">
        <v>4752</v>
      </c>
      <c r="AU123" s="78" t="s">
        <v>4753</v>
      </c>
      <c r="AV123" s="78" t="s">
        <v>4754</v>
      </c>
      <c r="AW123" s="78" t="s">
        <v>4053</v>
      </c>
      <c r="AX123" s="78" t="s">
        <v>4755</v>
      </c>
      <c r="AY123" s="78" t="s">
        <v>4756</v>
      </c>
      <c r="AZ123" s="78" t="s">
        <v>886</v>
      </c>
      <c r="BA123" s="78" t="s">
        <v>4757</v>
      </c>
      <c r="BB123" s="78" t="s">
        <v>4758</v>
      </c>
      <c r="BC123" s="78" t="s">
        <v>4055</v>
      </c>
      <c r="BD123" s="78" t="s">
        <v>4759</v>
      </c>
      <c r="BE123" s="78" t="s">
        <v>4760</v>
      </c>
      <c r="BF123" s="78" t="s">
        <v>4761</v>
      </c>
      <c r="BG123" s="78" t="s">
        <v>4762</v>
      </c>
      <c r="BH123" s="78" t="s">
        <v>4763</v>
      </c>
      <c r="BI123" s="78" t="s">
        <v>4764</v>
      </c>
      <c r="BJ123" s="78" t="s">
        <v>4765</v>
      </c>
      <c r="BK123" s="78" t="s">
        <v>4766</v>
      </c>
      <c r="BL123" s="78" t="s">
        <v>4767</v>
      </c>
      <c r="BM123" s="78" t="s">
        <v>4768</v>
      </c>
      <c r="BN123" s="78" t="s">
        <v>4769</v>
      </c>
      <c r="BO123" s="78" t="s">
        <v>4770</v>
      </c>
      <c r="BP123" s="78" t="s">
        <v>4771</v>
      </c>
      <c r="BQ123" s="78" t="s">
        <v>4772</v>
      </c>
      <c r="BR123" s="78" t="s">
        <v>4773</v>
      </c>
      <c r="BS123" s="78" t="s">
        <v>4774</v>
      </c>
      <c r="BT123" s="78" t="s">
        <v>4775</v>
      </c>
      <c r="BU123" s="78" t="s">
        <v>994</v>
      </c>
      <c r="BV123" s="78" t="s">
        <v>4776</v>
      </c>
      <c r="BW123" s="88" t="s">
        <v>1023</v>
      </c>
      <c r="BX123" s="87" t="s">
        <v>4777</v>
      </c>
      <c r="BY123" s="88" t="s">
        <v>873</v>
      </c>
      <c r="BZ123" s="88" t="s">
        <v>4778</v>
      </c>
      <c r="CA123" s="87" t="s">
        <v>874</v>
      </c>
      <c r="CB123" s="88" t="s">
        <v>4779</v>
      </c>
      <c r="CC123" s="88" t="s">
        <v>4780</v>
      </c>
      <c r="CD123" s="88" t="s">
        <v>4781</v>
      </c>
      <c r="CE123" s="88" t="s">
        <v>4782</v>
      </c>
      <c r="CF123" s="88" t="s">
        <v>875</v>
      </c>
      <c r="CG123" s="87" t="s">
        <v>4783</v>
      </c>
      <c r="CH123" s="87" t="s">
        <v>4784</v>
      </c>
      <c r="CI123" s="87" t="s">
        <v>4785</v>
      </c>
      <c r="CJ123" s="88" t="s">
        <v>4786</v>
      </c>
      <c r="CK123" s="86" t="s">
        <v>5474</v>
      </c>
      <c r="CL123" s="88" t="s">
        <v>877</v>
      </c>
      <c r="CM123" s="88" t="s">
        <v>878</v>
      </c>
      <c r="CN123" s="88" t="s">
        <v>879</v>
      </c>
      <c r="CO123" s="88" t="s">
        <v>880</v>
      </c>
      <c r="CP123" s="88" t="s">
        <v>881</v>
      </c>
      <c r="CQ123" s="88" t="s">
        <v>882</v>
      </c>
      <c r="CR123" s="88" t="s">
        <v>4787</v>
      </c>
      <c r="CS123" s="88" t="s">
        <v>4788</v>
      </c>
      <c r="CT123" s="88" t="s">
        <v>4789</v>
      </c>
      <c r="CU123" s="88" t="s">
        <v>4790</v>
      </c>
      <c r="CV123" s="88" t="s">
        <v>4791</v>
      </c>
      <c r="CW123" s="88" t="s">
        <v>4792</v>
      </c>
      <c r="CX123" s="88" t="s">
        <v>4793</v>
      </c>
      <c r="CY123" s="87" t="s">
        <v>4794</v>
      </c>
      <c r="CZ123" s="88" t="s">
        <v>1097</v>
      </c>
      <c r="DA123" s="88" t="s">
        <v>1098</v>
      </c>
      <c r="DB123" s="88" t="s">
        <v>1029</v>
      </c>
      <c r="DC123" s="88" t="s">
        <v>4795</v>
      </c>
      <c r="DD123" s="88" t="s">
        <v>4796</v>
      </c>
      <c r="DE123" s="88" t="s">
        <v>887</v>
      </c>
      <c r="DF123" s="88" t="s">
        <v>4797</v>
      </c>
      <c r="DG123" s="88" t="s">
        <v>4798</v>
      </c>
      <c r="DH123" s="88" t="s">
        <v>4799</v>
      </c>
      <c r="DI123" s="88" t="s">
        <v>888</v>
      </c>
      <c r="DJ123" s="88" t="s">
        <v>4800</v>
      </c>
      <c r="DK123" s="88" t="s">
        <v>4801</v>
      </c>
      <c r="DL123" s="88" t="s">
        <v>4802</v>
      </c>
      <c r="DM123" s="87" t="s">
        <v>4803</v>
      </c>
      <c r="DN123" s="88" t="s">
        <v>4804</v>
      </c>
      <c r="DO123" s="88" t="s">
        <v>4805</v>
      </c>
      <c r="DP123" s="88" t="s">
        <v>4806</v>
      </c>
      <c r="DQ123" s="88" t="s">
        <v>4807</v>
      </c>
      <c r="DR123" s="88" t="s">
        <v>889</v>
      </c>
      <c r="DS123" s="88" t="s">
        <v>890</v>
      </c>
      <c r="DT123" s="88" t="s">
        <v>891</v>
      </c>
      <c r="DU123" s="88" t="s">
        <v>892</v>
      </c>
      <c r="DV123" s="88" t="s">
        <v>893</v>
      </c>
      <c r="DW123" s="88" t="s">
        <v>894</v>
      </c>
      <c r="DX123" s="88" t="s">
        <v>895</v>
      </c>
      <c r="DY123" s="88" t="s">
        <v>896</v>
      </c>
      <c r="DZ123" s="87" t="s">
        <v>898</v>
      </c>
      <c r="EA123" s="87" t="s">
        <v>4808</v>
      </c>
      <c r="EB123" s="87" t="s">
        <v>4809</v>
      </c>
      <c r="EC123" s="87" t="s">
        <v>4810</v>
      </c>
      <c r="ED123" s="87" t="s">
        <v>4811</v>
      </c>
      <c r="EE123" s="87" t="s">
        <v>4812</v>
      </c>
      <c r="EF123" s="87" t="s">
        <v>4706</v>
      </c>
      <c r="EG123" s="87" t="s">
        <v>4707</v>
      </c>
      <c r="EH123" s="87" t="s">
        <v>4914</v>
      </c>
    </row>
    <row r="124" spans="36:138" x14ac:dyDescent="0.2">
      <c r="AJ124" s="78"/>
      <c r="AK124" s="78" t="s">
        <v>4062</v>
      </c>
      <c r="AL124" s="78" t="s">
        <v>958</v>
      </c>
      <c r="AM124" s="78" t="s">
        <v>957</v>
      </c>
      <c r="AN124" s="78" t="s">
        <v>4226</v>
      </c>
      <c r="AO124" s="78" t="s">
        <v>4225</v>
      </c>
      <c r="AP124" s="78" t="s">
        <v>4230</v>
      </c>
      <c r="AQ124" s="78" t="s">
        <v>4050</v>
      </c>
      <c r="AR124" s="78" t="s">
        <v>880</v>
      </c>
      <c r="AS124" s="78" t="s">
        <v>4041</v>
      </c>
      <c r="AT124" s="78" t="s">
        <v>4040</v>
      </c>
      <c r="AU124" s="78" t="s">
        <v>4049</v>
      </c>
      <c r="AV124" s="78" t="s">
        <v>4042</v>
      </c>
      <c r="AW124" s="78" t="s">
        <v>4052</v>
      </c>
      <c r="AX124" s="78" t="s">
        <v>4215</v>
      </c>
      <c r="AY124" s="78" t="s">
        <v>4054</v>
      </c>
      <c r="AZ124" s="78" t="s">
        <v>4227</v>
      </c>
      <c r="BA124" s="78" t="s">
        <v>4259</v>
      </c>
      <c r="BB124" s="78" t="s">
        <v>4237</v>
      </c>
      <c r="BC124" s="78" t="s">
        <v>4136</v>
      </c>
      <c r="BD124" s="78" t="s">
        <v>4064</v>
      </c>
      <c r="BE124" s="78" t="s">
        <v>4056</v>
      </c>
      <c r="BF124" s="78" t="s">
        <v>4057</v>
      </c>
      <c r="BG124" s="78" t="s">
        <v>4063</v>
      </c>
      <c r="BH124" s="78" t="s">
        <v>4065</v>
      </c>
      <c r="BI124" s="78" t="s">
        <v>4066</v>
      </c>
      <c r="BJ124" s="78" t="s">
        <v>4067</v>
      </c>
      <c r="BK124" s="78" t="s">
        <v>4058</v>
      </c>
      <c r="BL124" s="78" t="s">
        <v>4254</v>
      </c>
      <c r="BM124" s="78" t="s">
        <v>4059</v>
      </c>
      <c r="BN124" s="78" t="s">
        <v>4068</v>
      </c>
      <c r="BO124" s="78" t="s">
        <v>4060</v>
      </c>
      <c r="BP124" s="78" t="s">
        <v>4069</v>
      </c>
      <c r="BQ124" s="78" t="s">
        <v>4061</v>
      </c>
      <c r="BR124" s="78" t="s">
        <v>4070</v>
      </c>
      <c r="BS124" s="78" t="s">
        <v>4243</v>
      </c>
      <c r="BT124" s="78" t="s">
        <v>4071</v>
      </c>
      <c r="BU124" s="78" t="s">
        <v>894</v>
      </c>
      <c r="BV124" s="78" t="s">
        <v>1038</v>
      </c>
      <c r="BW124" s="87" t="s">
        <v>919</v>
      </c>
      <c r="BX124" s="87" t="s">
        <v>920</v>
      </c>
      <c r="BY124" s="88" t="s">
        <v>921</v>
      </c>
      <c r="BZ124" s="87" t="s">
        <v>922</v>
      </c>
      <c r="CA124" s="87" t="s">
        <v>923</v>
      </c>
      <c r="CB124" s="88" t="s">
        <v>924</v>
      </c>
      <c r="CC124" s="88" t="s">
        <v>925</v>
      </c>
      <c r="CD124" s="88" t="s">
        <v>926</v>
      </c>
      <c r="CE124" s="88" t="s">
        <v>927</v>
      </c>
      <c r="CF124" s="88" t="s">
        <v>875</v>
      </c>
      <c r="CG124" s="87" t="s">
        <v>918</v>
      </c>
      <c r="CH124" s="87" t="s">
        <v>928</v>
      </c>
      <c r="CI124" s="87" t="s">
        <v>929</v>
      </c>
      <c r="CJ124" s="88" t="s">
        <v>876</v>
      </c>
      <c r="CK124" s="86" t="s">
        <v>5474</v>
      </c>
      <c r="CL124" s="88" t="s">
        <v>877</v>
      </c>
      <c r="CM124" s="88" t="s">
        <v>878</v>
      </c>
      <c r="CN124" s="88" t="s">
        <v>879</v>
      </c>
      <c r="CO124" s="88" t="s">
        <v>880</v>
      </c>
      <c r="CP124" s="88" t="s">
        <v>930</v>
      </c>
      <c r="CQ124" s="88" t="s">
        <v>177</v>
      </c>
      <c r="CR124" s="88" t="s">
        <v>931</v>
      </c>
      <c r="CS124" s="88" t="s">
        <v>932</v>
      </c>
      <c r="CT124" s="88" t="s">
        <v>933</v>
      </c>
      <c r="CU124" s="88" t="s">
        <v>934</v>
      </c>
      <c r="CV124" s="88" t="s">
        <v>935</v>
      </c>
      <c r="CW124" s="88" t="s">
        <v>936</v>
      </c>
      <c r="CX124" s="88" t="s">
        <v>937</v>
      </c>
      <c r="CY124" s="87" t="s">
        <v>938</v>
      </c>
      <c r="CZ124" s="88" t="s">
        <v>939</v>
      </c>
      <c r="DA124" s="88" t="s">
        <v>940</v>
      </c>
      <c r="DB124" s="88" t="s">
        <v>941</v>
      </c>
      <c r="DC124" s="88" t="s">
        <v>942</v>
      </c>
      <c r="DD124" s="88" t="s">
        <v>943</v>
      </c>
      <c r="DE124" s="88" t="s">
        <v>887</v>
      </c>
      <c r="DF124" s="88" t="s">
        <v>944</v>
      </c>
      <c r="DG124" s="88" t="s">
        <v>945</v>
      </c>
      <c r="DH124" s="88" t="s">
        <v>946</v>
      </c>
      <c r="DI124" s="88" t="s">
        <v>947</v>
      </c>
      <c r="DJ124" s="88" t="s">
        <v>948</v>
      </c>
      <c r="DK124" s="88" t="s">
        <v>949</v>
      </c>
      <c r="DL124" s="88" t="s">
        <v>950</v>
      </c>
      <c r="DM124" s="87" t="s">
        <v>951</v>
      </c>
      <c r="DN124" s="88" t="s">
        <v>952</v>
      </c>
      <c r="DO124" s="88" t="s">
        <v>953</v>
      </c>
      <c r="DP124" s="88" t="s">
        <v>954</v>
      </c>
      <c r="DQ124" s="88" t="s">
        <v>955</v>
      </c>
      <c r="DR124" s="88" t="s">
        <v>889</v>
      </c>
      <c r="DS124" s="88" t="s">
        <v>890</v>
      </c>
      <c r="DT124" s="88" t="s">
        <v>891</v>
      </c>
      <c r="DU124" s="88" t="s">
        <v>892</v>
      </c>
      <c r="DV124" s="88" t="s">
        <v>956</v>
      </c>
      <c r="DW124" s="88" t="s">
        <v>4746</v>
      </c>
      <c r="DX124" s="88" t="s">
        <v>895</v>
      </c>
      <c r="DY124" s="88" t="s">
        <v>896</v>
      </c>
      <c r="DZ124" s="87" t="s">
        <v>959</v>
      </c>
      <c r="EA124" s="87" t="s">
        <v>960</v>
      </c>
      <c r="EB124" s="78" t="s">
        <v>1039</v>
      </c>
      <c r="EC124" s="87" t="s">
        <v>962</v>
      </c>
      <c r="ED124" s="87" t="s">
        <v>963</v>
      </c>
      <c r="EE124" s="87" t="s">
        <v>964</v>
      </c>
      <c r="EF124" s="87" t="s">
        <v>965</v>
      </c>
      <c r="EG124" s="87" t="s">
        <v>966</v>
      </c>
      <c r="EH124" s="67"/>
    </row>
    <row r="125" spans="36:138" x14ac:dyDescent="0.2">
      <c r="AJ125" s="12"/>
      <c r="AK125" s="12" t="s">
        <v>4085</v>
      </c>
      <c r="AL125" s="12" t="s">
        <v>4074</v>
      </c>
      <c r="AM125" s="12" t="s">
        <v>4074</v>
      </c>
      <c r="AN125" s="12" t="s">
        <v>4075</v>
      </c>
      <c r="AO125" s="12" t="s">
        <v>4075</v>
      </c>
      <c r="AP125" s="12" t="s">
        <v>4075</v>
      </c>
      <c r="AQ125" s="12" t="s">
        <v>4076</v>
      </c>
      <c r="AR125" s="12" t="s">
        <v>4076</v>
      </c>
      <c r="AS125" s="12" t="s">
        <v>4076</v>
      </c>
      <c r="AT125" s="12" t="s">
        <v>4076</v>
      </c>
      <c r="AU125" s="12" t="s">
        <v>4076</v>
      </c>
      <c r="AV125" s="12" t="s">
        <v>4076</v>
      </c>
      <c r="AW125" s="12" t="s">
        <v>4107</v>
      </c>
      <c r="AX125" s="12" t="s">
        <v>4107</v>
      </c>
      <c r="AY125" s="12" t="s">
        <v>4107</v>
      </c>
      <c r="AZ125" s="12" t="s">
        <v>886</v>
      </c>
      <c r="BA125" s="12" t="s">
        <v>886</v>
      </c>
      <c r="BB125" s="12" t="s">
        <v>886</v>
      </c>
      <c r="BC125" s="12" t="s">
        <v>4074</v>
      </c>
      <c r="BD125" s="12" t="s">
        <v>4074</v>
      </c>
      <c r="BE125" s="12" t="s">
        <v>4074</v>
      </c>
      <c r="BF125" s="12" t="s">
        <v>4074</v>
      </c>
      <c r="BG125" s="12" t="s">
        <v>4074</v>
      </c>
      <c r="BH125" s="12" t="s">
        <v>4074</v>
      </c>
      <c r="BI125" s="12" t="s">
        <v>4074</v>
      </c>
      <c r="BJ125" s="12" t="s">
        <v>4074</v>
      </c>
      <c r="BK125" s="12" t="s">
        <v>4074</v>
      </c>
      <c r="BL125" s="12" t="s">
        <v>4074</v>
      </c>
      <c r="BM125" s="12" t="s">
        <v>4074</v>
      </c>
      <c r="BN125" s="12" t="s">
        <v>4074</v>
      </c>
      <c r="BO125" s="12" t="s">
        <v>4074</v>
      </c>
      <c r="BP125" s="12" t="s">
        <v>4074</v>
      </c>
      <c r="BQ125" s="12" t="s">
        <v>4074</v>
      </c>
      <c r="BR125" s="12" t="s">
        <v>4074</v>
      </c>
      <c r="BS125" s="12" t="s">
        <v>4074</v>
      </c>
      <c r="BT125" s="12" t="s">
        <v>4074</v>
      </c>
      <c r="BU125" s="12" t="s">
        <v>4167</v>
      </c>
      <c r="BV125" s="12" t="s">
        <v>4074</v>
      </c>
      <c r="BW125" s="67" t="s">
        <v>1402</v>
      </c>
      <c r="BX125" s="67" t="s">
        <v>1402</v>
      </c>
      <c r="BY125" s="67" t="s">
        <v>1403</v>
      </c>
      <c r="BZ125" s="67" t="s">
        <v>1403</v>
      </c>
      <c r="CA125" s="67" t="s">
        <v>1403</v>
      </c>
      <c r="CB125" s="67" t="s">
        <v>1404</v>
      </c>
      <c r="CC125" s="67" t="s">
        <v>1403</v>
      </c>
      <c r="CD125" s="67" t="s">
        <v>1404</v>
      </c>
      <c r="CE125" s="67" t="s">
        <v>1404</v>
      </c>
      <c r="CF125" s="67" t="s">
        <v>1404</v>
      </c>
      <c r="CG125" s="67" t="s">
        <v>1403</v>
      </c>
      <c r="CH125" s="67" t="s">
        <v>1403</v>
      </c>
      <c r="CI125" s="67" t="s">
        <v>1403</v>
      </c>
      <c r="CJ125" s="67" t="s">
        <v>1405</v>
      </c>
      <c r="CK125" s="67" t="s">
        <v>5491</v>
      </c>
      <c r="CL125" s="67" t="s">
        <v>1406</v>
      </c>
      <c r="CM125" s="67" t="s">
        <v>1407</v>
      </c>
      <c r="CN125" s="67" t="s">
        <v>1408</v>
      </c>
      <c r="CO125" s="67" t="s">
        <v>1408</v>
      </c>
      <c r="CP125" s="67" t="s">
        <v>1409</v>
      </c>
      <c r="CQ125" s="67" t="s">
        <v>1410</v>
      </c>
      <c r="CR125" s="67" t="s">
        <v>1411</v>
      </c>
      <c r="CS125" s="67" t="s">
        <v>1412</v>
      </c>
      <c r="CT125" s="67" t="s">
        <v>1413</v>
      </c>
      <c r="CU125" s="67" t="s">
        <v>1403</v>
      </c>
      <c r="CV125" s="67" t="s">
        <v>1403</v>
      </c>
      <c r="CW125" s="67" t="s">
        <v>1403</v>
      </c>
      <c r="CX125" s="67" t="s">
        <v>1414</v>
      </c>
      <c r="CY125" s="67" t="s">
        <v>1415</v>
      </c>
      <c r="CZ125" s="67" t="s">
        <v>1416</v>
      </c>
      <c r="DA125" s="67" t="s">
        <v>1417</v>
      </c>
      <c r="DB125" s="67" t="s">
        <v>1418</v>
      </c>
      <c r="DC125" s="67" t="s">
        <v>1418</v>
      </c>
      <c r="DD125" s="67" t="s">
        <v>1418</v>
      </c>
      <c r="DE125" s="67" t="s">
        <v>1419</v>
      </c>
      <c r="DF125" s="67" t="s">
        <v>1419</v>
      </c>
      <c r="DG125" s="67" t="s">
        <v>1419</v>
      </c>
      <c r="DH125" s="67" t="s">
        <v>1419</v>
      </c>
      <c r="DI125" s="67" t="s">
        <v>1420</v>
      </c>
      <c r="DJ125" s="67" t="s">
        <v>1421</v>
      </c>
      <c r="DK125" s="67" t="s">
        <v>1422</v>
      </c>
      <c r="DL125" s="67" t="s">
        <v>1423</v>
      </c>
      <c r="DM125" s="67" t="s">
        <v>1411</v>
      </c>
      <c r="DN125" s="67" t="s">
        <v>952</v>
      </c>
      <c r="DO125" s="67" t="s">
        <v>1411</v>
      </c>
      <c r="DP125" s="67" t="s">
        <v>1424</v>
      </c>
      <c r="DQ125" s="67" t="s">
        <v>1425</v>
      </c>
      <c r="DR125" s="67"/>
      <c r="DS125" s="67"/>
      <c r="DT125" s="67" t="s">
        <v>1426</v>
      </c>
      <c r="DU125" s="67" t="s">
        <v>1427</v>
      </c>
      <c r="DV125" s="67" t="s">
        <v>1428</v>
      </c>
      <c r="DW125" s="67" t="s">
        <v>1429</v>
      </c>
      <c r="DX125" s="67" t="s">
        <v>1585</v>
      </c>
      <c r="DY125" s="67" t="s">
        <v>1403</v>
      </c>
      <c r="DZ125" s="67" t="s">
        <v>5521</v>
      </c>
      <c r="EA125" s="67" t="s">
        <v>5546</v>
      </c>
      <c r="EB125" s="67" t="s">
        <v>1585</v>
      </c>
      <c r="EC125" s="67" t="s">
        <v>1585</v>
      </c>
      <c r="ED125" s="67" t="s">
        <v>5521</v>
      </c>
      <c r="EE125" s="67" t="s">
        <v>5521</v>
      </c>
      <c r="EF125" s="67"/>
      <c r="EG125" s="67"/>
      <c r="EH125" s="67">
        <v>2</v>
      </c>
    </row>
    <row r="126" spans="36:138" x14ac:dyDescent="0.2">
      <c r="AJ126" s="12"/>
      <c r="AK126" s="12" t="s">
        <v>4085</v>
      </c>
      <c r="AL126" s="12" t="s">
        <v>4074</v>
      </c>
      <c r="AM126" s="12" t="s">
        <v>4074</v>
      </c>
      <c r="AN126" s="12" t="s">
        <v>4075</v>
      </c>
      <c r="AO126" s="12" t="s">
        <v>4075</v>
      </c>
      <c r="AP126" s="12" t="s">
        <v>4075</v>
      </c>
      <c r="AQ126" s="12" t="s">
        <v>4076</v>
      </c>
      <c r="AR126" s="12" t="s">
        <v>4076</v>
      </c>
      <c r="AS126" s="12" t="s">
        <v>4076</v>
      </c>
      <c r="AT126" s="12" t="s">
        <v>4076</v>
      </c>
      <c r="AU126" s="12" t="s">
        <v>4076</v>
      </c>
      <c r="AV126" s="12" t="s">
        <v>4076</v>
      </c>
      <c r="AW126" s="12" t="s">
        <v>4107</v>
      </c>
      <c r="AX126" s="12" t="s">
        <v>4107</v>
      </c>
      <c r="AY126" s="12" t="s">
        <v>4107</v>
      </c>
      <c r="AZ126" s="12" t="s">
        <v>886</v>
      </c>
      <c r="BA126" s="12" t="s">
        <v>886</v>
      </c>
      <c r="BB126" s="12" t="s">
        <v>886</v>
      </c>
      <c r="BC126" s="12" t="s">
        <v>4074</v>
      </c>
      <c r="BD126" s="12" t="s">
        <v>4074</v>
      </c>
      <c r="BE126" s="12" t="s">
        <v>4074</v>
      </c>
      <c r="BF126" s="12" t="s">
        <v>4074</v>
      </c>
      <c r="BG126" s="12" t="s">
        <v>4074</v>
      </c>
      <c r="BH126" s="12" t="s">
        <v>4074</v>
      </c>
      <c r="BI126" s="12" t="s">
        <v>4074</v>
      </c>
      <c r="BJ126" s="12" t="s">
        <v>4074</v>
      </c>
      <c r="BK126" s="12" t="s">
        <v>4074</v>
      </c>
      <c r="BL126" s="12" t="s">
        <v>4074</v>
      </c>
      <c r="BM126" s="12" t="s">
        <v>4074</v>
      </c>
      <c r="BN126" s="12" t="s">
        <v>4074</v>
      </c>
      <c r="BO126" s="12" t="s">
        <v>4074</v>
      </c>
      <c r="BP126" s="12" t="s">
        <v>4074</v>
      </c>
      <c r="BQ126" s="12" t="s">
        <v>4074</v>
      </c>
      <c r="BR126" s="12" t="s">
        <v>4074</v>
      </c>
      <c r="BS126" s="12" t="s">
        <v>4074</v>
      </c>
      <c r="BT126" s="12" t="s">
        <v>4074</v>
      </c>
      <c r="BU126" s="12" t="s">
        <v>4074</v>
      </c>
      <c r="BV126" s="12" t="s">
        <v>4167</v>
      </c>
      <c r="BW126" s="67"/>
      <c r="BX126" s="67"/>
      <c r="BY126" s="67" t="s">
        <v>1403</v>
      </c>
      <c r="BZ126" s="67" t="s">
        <v>1403</v>
      </c>
      <c r="CA126" s="67" t="s">
        <v>1403</v>
      </c>
      <c r="CB126" s="67" t="s">
        <v>1404</v>
      </c>
      <c r="CC126" s="67" t="s">
        <v>1403</v>
      </c>
      <c r="CD126" s="67" t="s">
        <v>1404</v>
      </c>
      <c r="CE126" s="67" t="s">
        <v>1404</v>
      </c>
      <c r="CF126" s="67" t="s">
        <v>1404</v>
      </c>
      <c r="CG126" s="67" t="s">
        <v>1403</v>
      </c>
      <c r="CH126" s="67" t="s">
        <v>1403</v>
      </c>
      <c r="CI126" s="67" t="s">
        <v>1403</v>
      </c>
      <c r="CJ126" s="67" t="s">
        <v>1405</v>
      </c>
      <c r="CK126" s="67" t="s">
        <v>5491</v>
      </c>
      <c r="CL126" s="67" t="s">
        <v>1406</v>
      </c>
      <c r="CM126" s="67" t="s">
        <v>1407</v>
      </c>
      <c r="CN126" s="67" t="s">
        <v>1408</v>
      </c>
      <c r="CO126" s="67" t="s">
        <v>1408</v>
      </c>
      <c r="CP126" s="67" t="s">
        <v>1409</v>
      </c>
      <c r="CQ126" s="67" t="s">
        <v>1410</v>
      </c>
      <c r="CR126" s="67" t="s">
        <v>1411</v>
      </c>
      <c r="CS126" s="67" t="s">
        <v>1412</v>
      </c>
      <c r="CT126" s="67" t="s">
        <v>1413</v>
      </c>
      <c r="CU126" s="67" t="s">
        <v>1403</v>
      </c>
      <c r="CV126" s="67" t="s">
        <v>1403</v>
      </c>
      <c r="CW126" s="67" t="s">
        <v>1403</v>
      </c>
      <c r="CX126" s="67" t="s">
        <v>1414</v>
      </c>
      <c r="CY126" s="67" t="s">
        <v>1415</v>
      </c>
      <c r="CZ126" s="67" t="s">
        <v>1416</v>
      </c>
      <c r="DA126" s="67" t="s">
        <v>1417</v>
      </c>
      <c r="DB126" s="67" t="s">
        <v>1418</v>
      </c>
      <c r="DC126" s="67" t="s">
        <v>1418</v>
      </c>
      <c r="DD126" s="67" t="s">
        <v>1418</v>
      </c>
      <c r="DE126" s="67"/>
      <c r="DF126" s="67"/>
      <c r="DG126" s="67"/>
      <c r="DH126" s="67"/>
      <c r="DI126" s="67" t="s">
        <v>1420</v>
      </c>
      <c r="DJ126" s="67" t="s">
        <v>1421</v>
      </c>
      <c r="DK126" s="67" t="s">
        <v>1422</v>
      </c>
      <c r="DL126" s="67" t="s">
        <v>1423</v>
      </c>
      <c r="DM126" s="67" t="s">
        <v>1411</v>
      </c>
      <c r="DN126" s="67" t="s">
        <v>952</v>
      </c>
      <c r="DO126" s="67" t="s">
        <v>1411</v>
      </c>
      <c r="DP126" s="67" t="s">
        <v>1424</v>
      </c>
      <c r="DQ126" s="67" t="s">
        <v>1425</v>
      </c>
      <c r="DR126" s="67"/>
      <c r="DS126" s="67"/>
      <c r="DT126" s="67" t="s">
        <v>1426</v>
      </c>
      <c r="DU126" s="67" t="s">
        <v>1427</v>
      </c>
      <c r="DV126" s="67" t="s">
        <v>1428</v>
      </c>
      <c r="DW126" s="67" t="s">
        <v>1429</v>
      </c>
      <c r="DX126" s="67" t="s">
        <v>1585</v>
      </c>
      <c r="DY126" s="67" t="s">
        <v>1403</v>
      </c>
      <c r="DZ126" s="67"/>
      <c r="EA126" s="67"/>
      <c r="EB126" s="67" t="s">
        <v>1585</v>
      </c>
      <c r="EC126" s="67" t="s">
        <v>1585</v>
      </c>
      <c r="ED126" s="67"/>
      <c r="EE126" s="67"/>
      <c r="EF126" s="67"/>
      <c r="EG126" s="67"/>
      <c r="EH126" s="67">
        <v>3</v>
      </c>
    </row>
    <row r="127" spans="36:138" x14ac:dyDescent="0.2">
      <c r="AJ127" s="12"/>
      <c r="AK127" s="12" t="s">
        <v>4074</v>
      </c>
      <c r="AL127" s="12" t="s">
        <v>4076</v>
      </c>
      <c r="AM127" s="12" t="s">
        <v>4076</v>
      </c>
      <c r="AN127" s="12" t="s">
        <v>4074</v>
      </c>
      <c r="AO127" s="12" t="s">
        <v>4074</v>
      </c>
      <c r="AP127" s="12" t="s">
        <v>4074</v>
      </c>
      <c r="AQ127" s="12" t="s">
        <v>4074</v>
      </c>
      <c r="AR127" s="12" t="s">
        <v>4074</v>
      </c>
      <c r="AS127" s="12" t="s">
        <v>4074</v>
      </c>
      <c r="AT127" s="12" t="s">
        <v>4074</v>
      </c>
      <c r="AU127" s="12" t="s">
        <v>4074</v>
      </c>
      <c r="AV127" s="12" t="s">
        <v>4074</v>
      </c>
      <c r="AW127" s="12" t="s">
        <v>4074</v>
      </c>
      <c r="AX127" s="12" t="s">
        <v>4074</v>
      </c>
      <c r="AY127" s="12" t="s">
        <v>4074</v>
      </c>
      <c r="AZ127" s="12" t="s">
        <v>4074</v>
      </c>
      <c r="BA127" s="12" t="s">
        <v>4074</v>
      </c>
      <c r="BB127" s="12" t="s">
        <v>4074</v>
      </c>
      <c r="BC127" s="12" t="s">
        <v>4080</v>
      </c>
      <c r="BD127" s="12" t="s">
        <v>4081</v>
      </c>
      <c r="BE127" s="12" t="s">
        <v>4082</v>
      </c>
      <c r="BF127" s="12" t="s">
        <v>4057</v>
      </c>
      <c r="BG127" s="12" t="s">
        <v>4063</v>
      </c>
      <c r="BH127" s="12" t="s">
        <v>4083</v>
      </c>
      <c r="BI127" s="12" t="s">
        <v>4084</v>
      </c>
      <c r="BJ127" s="12" t="s">
        <v>4067</v>
      </c>
      <c r="BK127" s="12" t="s">
        <v>4058</v>
      </c>
      <c r="BL127" s="12" t="s">
        <v>4086</v>
      </c>
      <c r="BM127" s="12" t="s">
        <v>4087</v>
      </c>
      <c r="BN127" s="12" t="s">
        <v>4063</v>
      </c>
      <c r="BO127" s="12" t="s">
        <v>4060</v>
      </c>
      <c r="BP127" s="12" t="s">
        <v>4069</v>
      </c>
      <c r="BQ127" s="12" t="s">
        <v>4057</v>
      </c>
      <c r="BR127" s="12" t="s">
        <v>4070</v>
      </c>
      <c r="BS127" s="12" t="s">
        <v>4092</v>
      </c>
      <c r="BT127" s="12" t="s">
        <v>4077</v>
      </c>
      <c r="BU127" s="12"/>
      <c r="BV127" s="12" t="s">
        <v>4077</v>
      </c>
      <c r="BW127" s="67" t="s">
        <v>1403</v>
      </c>
      <c r="BX127" s="67" t="s">
        <v>1403</v>
      </c>
      <c r="BY127" s="67"/>
      <c r="BZ127" s="67"/>
      <c r="CA127" s="67"/>
      <c r="CB127" s="67" t="s">
        <v>1403</v>
      </c>
      <c r="CC127" s="67" t="s">
        <v>1408</v>
      </c>
      <c r="CD127" s="67" t="s">
        <v>1403</v>
      </c>
      <c r="CE127" s="67" t="s">
        <v>1403</v>
      </c>
      <c r="CF127" s="67" t="s">
        <v>1403</v>
      </c>
      <c r="CG127" s="67" t="s">
        <v>1408</v>
      </c>
      <c r="CH127" s="67"/>
      <c r="CI127" s="67" t="s">
        <v>1408</v>
      </c>
      <c r="CJ127" s="67" t="s">
        <v>1403</v>
      </c>
      <c r="CK127" s="67" t="s">
        <v>1419</v>
      </c>
      <c r="CL127" s="67" t="s">
        <v>1408</v>
      </c>
      <c r="CM127" s="67" t="s">
        <v>1408</v>
      </c>
      <c r="CN127" s="67" t="s">
        <v>1403</v>
      </c>
      <c r="CO127" s="67" t="s">
        <v>1403</v>
      </c>
      <c r="CP127" s="67" t="s">
        <v>1412</v>
      </c>
      <c r="CQ127" s="67" t="s">
        <v>1507</v>
      </c>
      <c r="CR127" s="67" t="s">
        <v>1412</v>
      </c>
      <c r="CS127" s="67"/>
      <c r="CT127" s="67"/>
      <c r="CU127" s="67" t="s">
        <v>1407</v>
      </c>
      <c r="CV127" s="67"/>
      <c r="CW127" s="67"/>
      <c r="CX127" s="67" t="s">
        <v>1412</v>
      </c>
      <c r="CY127" s="67"/>
      <c r="CZ127" s="67" t="s">
        <v>1403</v>
      </c>
      <c r="DA127" s="67" t="s">
        <v>1403</v>
      </c>
      <c r="DB127" s="67" t="s">
        <v>1403</v>
      </c>
      <c r="DC127" s="67" t="s">
        <v>1403</v>
      </c>
      <c r="DD127" s="67" t="s">
        <v>1403</v>
      </c>
      <c r="DE127" s="67" t="s">
        <v>1403</v>
      </c>
      <c r="DF127" s="67" t="s">
        <v>1403</v>
      </c>
      <c r="DG127" s="67" t="s">
        <v>1403</v>
      </c>
      <c r="DH127" s="67" t="s">
        <v>1403</v>
      </c>
      <c r="DI127" s="67" t="s">
        <v>1416</v>
      </c>
      <c r="DJ127" s="67" t="s">
        <v>1423</v>
      </c>
      <c r="DK127" s="67" t="s">
        <v>1508</v>
      </c>
      <c r="DL127" s="67" t="s">
        <v>1412</v>
      </c>
      <c r="DM127" s="67" t="s">
        <v>1412</v>
      </c>
      <c r="DN127" s="67" t="s">
        <v>1508</v>
      </c>
      <c r="DO127" s="67" t="s">
        <v>1508</v>
      </c>
      <c r="DP127" s="67" t="s">
        <v>1423</v>
      </c>
      <c r="DQ127" s="67" t="s">
        <v>1423</v>
      </c>
      <c r="DR127" s="67"/>
      <c r="DS127" s="67"/>
      <c r="DT127" s="67"/>
      <c r="DU127" s="67" t="s">
        <v>1403</v>
      </c>
      <c r="DV127" s="67"/>
      <c r="DW127" s="67" t="s">
        <v>1509</v>
      </c>
      <c r="DX127" s="67" t="s">
        <v>1509</v>
      </c>
      <c r="DY127" s="67" t="s">
        <v>1429</v>
      </c>
      <c r="DZ127" s="67"/>
      <c r="EA127" s="67"/>
      <c r="EB127" s="67" t="s">
        <v>1403</v>
      </c>
      <c r="EC127" s="67" t="s">
        <v>1403</v>
      </c>
      <c r="ED127" s="67"/>
      <c r="EE127" s="67"/>
      <c r="EF127" s="67"/>
      <c r="EG127" s="67"/>
      <c r="EH127" s="67">
        <v>4</v>
      </c>
    </row>
    <row r="128" spans="36:138" x14ac:dyDescent="0.2">
      <c r="AJ128" s="12"/>
      <c r="AK128" s="12" t="s">
        <v>4074</v>
      </c>
      <c r="AL128" s="12" t="s">
        <v>4076</v>
      </c>
      <c r="AM128" s="12" t="s">
        <v>4076</v>
      </c>
      <c r="AN128" s="12" t="s">
        <v>4074</v>
      </c>
      <c r="AO128" s="12" t="s">
        <v>4074</v>
      </c>
      <c r="AP128" s="12" t="s">
        <v>4074</v>
      </c>
      <c r="AQ128" s="12" t="s">
        <v>4074</v>
      </c>
      <c r="AR128" s="12" t="s">
        <v>4074</v>
      </c>
      <c r="AS128" s="12" t="s">
        <v>4074</v>
      </c>
      <c r="AT128" s="12" t="s">
        <v>4074</v>
      </c>
      <c r="AU128" s="12" t="s">
        <v>4074</v>
      </c>
      <c r="AV128" s="12" t="s">
        <v>4074</v>
      </c>
      <c r="AW128" s="12" t="s">
        <v>4074</v>
      </c>
      <c r="AX128" s="12" t="s">
        <v>4074</v>
      </c>
      <c r="AY128" s="12" t="s">
        <v>4074</v>
      </c>
      <c r="AZ128" s="12" t="s">
        <v>4074</v>
      </c>
      <c r="BA128" s="12" t="s">
        <v>4074</v>
      </c>
      <c r="BB128" s="12" t="s">
        <v>4074</v>
      </c>
      <c r="BC128" s="12" t="s">
        <v>4088</v>
      </c>
      <c r="BD128" s="12" t="s">
        <v>4081</v>
      </c>
      <c r="BE128" s="12" t="s">
        <v>4082</v>
      </c>
      <c r="BF128" s="12" t="s">
        <v>4057</v>
      </c>
      <c r="BG128" s="12" t="s">
        <v>4089</v>
      </c>
      <c r="BH128" s="12" t="s">
        <v>4083</v>
      </c>
      <c r="BI128" s="12" t="s">
        <v>4084</v>
      </c>
      <c r="BJ128" s="12" t="s">
        <v>4090</v>
      </c>
      <c r="BK128" s="12" t="s">
        <v>4058</v>
      </c>
      <c r="BL128" s="12" t="s">
        <v>4086</v>
      </c>
      <c r="BM128" s="12" t="s">
        <v>4087</v>
      </c>
      <c r="BN128" s="12" t="s">
        <v>4063</v>
      </c>
      <c r="BO128" s="12" t="s">
        <v>4060</v>
      </c>
      <c r="BP128" s="12" t="s">
        <v>4091</v>
      </c>
      <c r="BQ128" s="12" t="s">
        <v>4057</v>
      </c>
      <c r="BR128" s="12" t="s">
        <v>4070</v>
      </c>
      <c r="BS128" s="12" t="s">
        <v>4092</v>
      </c>
      <c r="BT128" s="12" t="s">
        <v>4077</v>
      </c>
      <c r="BU128" s="12"/>
      <c r="BV128" s="12" t="s">
        <v>4077</v>
      </c>
      <c r="BW128" s="67" t="s">
        <v>1403</v>
      </c>
      <c r="BX128" s="67" t="s">
        <v>1403</v>
      </c>
      <c r="BY128" s="67"/>
      <c r="BZ128" s="67"/>
      <c r="CA128" s="67"/>
      <c r="CB128" s="67" t="s">
        <v>1403</v>
      </c>
      <c r="CC128" s="67" t="s">
        <v>1408</v>
      </c>
      <c r="CD128" s="67" t="s">
        <v>1403</v>
      </c>
      <c r="CE128" s="67" t="s">
        <v>1403</v>
      </c>
      <c r="CF128" s="67" t="s">
        <v>1403</v>
      </c>
      <c r="CG128" s="67" t="s">
        <v>1408</v>
      </c>
      <c r="CH128" s="67"/>
      <c r="CI128" s="67" t="s">
        <v>1408</v>
      </c>
      <c r="CJ128" s="67" t="s">
        <v>1403</v>
      </c>
      <c r="CK128" s="67" t="s">
        <v>1419</v>
      </c>
      <c r="CL128" s="67" t="s">
        <v>1408</v>
      </c>
      <c r="CM128" s="67" t="s">
        <v>1408</v>
      </c>
      <c r="CN128" s="67" t="s">
        <v>1403</v>
      </c>
      <c r="CO128" s="67" t="s">
        <v>1403</v>
      </c>
      <c r="CP128" s="67" t="s">
        <v>1412</v>
      </c>
      <c r="CQ128" s="67"/>
      <c r="CR128" s="67" t="s">
        <v>1412</v>
      </c>
      <c r="CS128" s="67"/>
      <c r="CT128" s="67"/>
      <c r="CU128" s="67" t="s">
        <v>1407</v>
      </c>
      <c r="CV128" s="67"/>
      <c r="CW128" s="67"/>
      <c r="CX128" s="67" t="s">
        <v>1408</v>
      </c>
      <c r="CY128" s="67"/>
      <c r="CZ128" s="67" t="s">
        <v>1403</v>
      </c>
      <c r="DA128" s="67" t="s">
        <v>1403</v>
      </c>
      <c r="DB128" s="67" t="s">
        <v>1403</v>
      </c>
      <c r="DC128" s="67" t="s">
        <v>1403</v>
      </c>
      <c r="DD128" s="67" t="s">
        <v>1403</v>
      </c>
      <c r="DE128" s="67"/>
      <c r="DF128" s="67"/>
      <c r="DG128" s="67"/>
      <c r="DH128" s="67"/>
      <c r="DI128" s="67" t="s">
        <v>1416</v>
      </c>
      <c r="DJ128" s="67" t="s">
        <v>1423</v>
      </c>
      <c r="DK128" s="67" t="s">
        <v>1508</v>
      </c>
      <c r="DL128" s="67" t="s">
        <v>1412</v>
      </c>
      <c r="DM128" s="67" t="s">
        <v>1412</v>
      </c>
      <c r="DN128" s="67" t="s">
        <v>1508</v>
      </c>
      <c r="DO128" s="67" t="s">
        <v>1508</v>
      </c>
      <c r="DP128" s="67" t="s">
        <v>1423</v>
      </c>
      <c r="DQ128" s="67" t="s">
        <v>1423</v>
      </c>
      <c r="DR128" s="67"/>
      <c r="DS128" s="67"/>
      <c r="DT128" s="67"/>
      <c r="DU128" s="67" t="s">
        <v>1403</v>
      </c>
      <c r="DV128" s="67"/>
      <c r="DW128" s="67" t="s">
        <v>1509</v>
      </c>
      <c r="DX128" s="67" t="s">
        <v>1509</v>
      </c>
      <c r="DY128" s="67" t="s">
        <v>1429</v>
      </c>
      <c r="DZ128" s="67"/>
      <c r="EA128" s="67"/>
      <c r="EB128" s="67" t="s">
        <v>1403</v>
      </c>
      <c r="EC128" s="67" t="s">
        <v>1403</v>
      </c>
      <c r="ED128" s="67"/>
      <c r="EE128" s="67"/>
      <c r="EF128" s="67"/>
      <c r="EG128" s="67"/>
      <c r="EH128" s="67">
        <v>5</v>
      </c>
    </row>
    <row r="129" spans="36:138" x14ac:dyDescent="0.2">
      <c r="AJ129" s="12"/>
      <c r="AK129" s="12"/>
      <c r="AL129" s="12" t="s">
        <v>1586</v>
      </c>
      <c r="AM129" s="12" t="s">
        <v>1586</v>
      </c>
      <c r="AN129" s="12" t="s">
        <v>1586</v>
      </c>
      <c r="AO129" s="12"/>
      <c r="AP129" s="12"/>
      <c r="AQ129" s="12"/>
      <c r="AR129" s="12" t="s">
        <v>4077</v>
      </c>
      <c r="AS129" s="12" t="s">
        <v>4077</v>
      </c>
      <c r="AT129" s="12" t="s">
        <v>4077</v>
      </c>
      <c r="AU129" s="12"/>
      <c r="AV129" s="12"/>
      <c r="AW129" s="12" t="s">
        <v>1586</v>
      </c>
      <c r="AX129" s="12"/>
      <c r="AY129" s="12"/>
      <c r="AZ129" s="12"/>
      <c r="BA129" s="12"/>
      <c r="BB129" s="12"/>
      <c r="BC129" s="12"/>
      <c r="BD129" s="12"/>
      <c r="BE129" s="12" t="s">
        <v>4077</v>
      </c>
      <c r="BF129" s="12" t="s">
        <v>4077</v>
      </c>
      <c r="BG129" s="12" t="s">
        <v>4077</v>
      </c>
      <c r="BH129" s="12" t="s">
        <v>4077</v>
      </c>
      <c r="BI129" s="12" t="s">
        <v>4077</v>
      </c>
      <c r="BJ129" s="12" t="s">
        <v>4077</v>
      </c>
      <c r="BK129" s="12" t="s">
        <v>4077</v>
      </c>
      <c r="BL129" s="12" t="s">
        <v>4077</v>
      </c>
      <c r="BM129" s="12" t="s">
        <v>4077</v>
      </c>
      <c r="BN129" s="12" t="s">
        <v>4077</v>
      </c>
      <c r="BO129" s="12" t="s">
        <v>4077</v>
      </c>
      <c r="BP129" s="12" t="s">
        <v>4077</v>
      </c>
      <c r="BQ129" s="12" t="s">
        <v>4077</v>
      </c>
      <c r="BR129" s="12" t="s">
        <v>4077</v>
      </c>
      <c r="BS129" s="12" t="s">
        <v>4077</v>
      </c>
      <c r="BT129" s="12"/>
      <c r="BU129" s="12"/>
      <c r="BV129" s="12"/>
      <c r="BW129" s="67"/>
      <c r="BX129" s="67"/>
      <c r="BY129" s="67"/>
      <c r="BZ129" s="67"/>
      <c r="CA129" s="67"/>
      <c r="CB129" s="67" t="s">
        <v>1408</v>
      </c>
      <c r="CC129" s="67"/>
      <c r="CD129" s="67" t="s">
        <v>1416</v>
      </c>
      <c r="CE129" s="67" t="s">
        <v>1416</v>
      </c>
      <c r="CF129" s="67" t="s">
        <v>1416</v>
      </c>
      <c r="CG129" s="67"/>
      <c r="CH129" s="67"/>
      <c r="CI129" s="67"/>
      <c r="CJ129" s="67" t="s">
        <v>1408</v>
      </c>
      <c r="CK129" s="67"/>
      <c r="CL129" s="67" t="s">
        <v>1403</v>
      </c>
      <c r="CM129" s="67" t="s">
        <v>1403</v>
      </c>
      <c r="CN129" s="67" t="s">
        <v>1407</v>
      </c>
      <c r="CO129" s="67" t="s">
        <v>1406</v>
      </c>
      <c r="CP129" s="67" t="s">
        <v>1402</v>
      </c>
      <c r="CQ129" s="67" t="s">
        <v>1412</v>
      </c>
      <c r="CR129" s="67" t="s">
        <v>1407</v>
      </c>
      <c r="CS129" s="67"/>
      <c r="CT129" s="67"/>
      <c r="CU129" s="67"/>
      <c r="CV129" s="67"/>
      <c r="CW129" s="67"/>
      <c r="CX129" s="67" t="s">
        <v>1408</v>
      </c>
      <c r="CY129" s="67"/>
      <c r="CZ129" s="67" t="s">
        <v>1417</v>
      </c>
      <c r="DA129" s="67" t="s">
        <v>1416</v>
      </c>
      <c r="DB129" s="67"/>
      <c r="DC129" s="67"/>
      <c r="DD129" s="67"/>
      <c r="DE129" s="67"/>
      <c r="DF129" s="67"/>
      <c r="DG129" s="67"/>
      <c r="DH129" s="67"/>
      <c r="DI129" s="67" t="s">
        <v>1403</v>
      </c>
      <c r="DJ129" s="67" t="s">
        <v>1584</v>
      </c>
      <c r="DK129" s="67" t="s">
        <v>1584</v>
      </c>
      <c r="DL129" s="67" t="s">
        <v>1584</v>
      </c>
      <c r="DM129" s="67" t="s">
        <v>1584</v>
      </c>
      <c r="DN129" s="67" t="s">
        <v>1584</v>
      </c>
      <c r="DO129" s="67" t="s">
        <v>1584</v>
      </c>
      <c r="DP129" s="67" t="s">
        <v>1584</v>
      </c>
      <c r="DQ129" s="67" t="s">
        <v>1584</v>
      </c>
      <c r="DR129" s="67"/>
      <c r="DS129" s="67"/>
      <c r="DT129" s="67"/>
      <c r="DU129" s="67" t="s">
        <v>1419</v>
      </c>
      <c r="DV129" s="67"/>
      <c r="DW129" s="67" t="s">
        <v>1403</v>
      </c>
      <c r="DX129" s="67" t="s">
        <v>1403</v>
      </c>
      <c r="DY129" s="67" t="s">
        <v>1585</v>
      </c>
      <c r="DZ129" s="67"/>
      <c r="EA129" s="67"/>
      <c r="EB129" s="67"/>
      <c r="EC129" s="67"/>
      <c r="ED129" s="67"/>
      <c r="EE129" s="67"/>
      <c r="EF129" s="67"/>
      <c r="EG129" s="67"/>
      <c r="EH129" s="67">
        <v>6</v>
      </c>
    </row>
    <row r="130" spans="36:138" x14ac:dyDescent="0.2">
      <c r="AJ130" s="12"/>
      <c r="AK130" s="12"/>
      <c r="AL130" s="12" t="s">
        <v>1586</v>
      </c>
      <c r="AM130" s="12" t="s">
        <v>1586</v>
      </c>
      <c r="AN130" s="12" t="s">
        <v>1586</v>
      </c>
      <c r="AO130" s="12"/>
      <c r="AP130" s="12"/>
      <c r="AQ130" s="12"/>
      <c r="AR130" s="12" t="s">
        <v>4077</v>
      </c>
      <c r="AS130" s="12" t="s">
        <v>4077</v>
      </c>
      <c r="AT130" s="12" t="s">
        <v>4077</v>
      </c>
      <c r="AU130" s="12"/>
      <c r="AV130" s="12"/>
      <c r="AW130" s="12" t="s">
        <v>1586</v>
      </c>
      <c r="AX130" s="12"/>
      <c r="AY130" s="12"/>
      <c r="AZ130" s="12"/>
      <c r="BA130" s="12"/>
      <c r="BB130" s="12"/>
      <c r="BC130" s="12"/>
      <c r="BD130" s="12"/>
      <c r="BE130" s="12" t="s">
        <v>4077</v>
      </c>
      <c r="BF130" s="12" t="s">
        <v>4077</v>
      </c>
      <c r="BG130" s="12" t="s">
        <v>4077</v>
      </c>
      <c r="BH130" s="12" t="s">
        <v>4077</v>
      </c>
      <c r="BI130" s="12" t="s">
        <v>4077</v>
      </c>
      <c r="BJ130" s="12" t="s">
        <v>4077</v>
      </c>
      <c r="BK130" s="12" t="s">
        <v>4077</v>
      </c>
      <c r="BL130" s="12" t="s">
        <v>4077</v>
      </c>
      <c r="BM130" s="12" t="s">
        <v>4077</v>
      </c>
      <c r="BN130" s="12" t="s">
        <v>4077</v>
      </c>
      <c r="BO130" s="12" t="s">
        <v>4077</v>
      </c>
      <c r="BP130" s="12" t="s">
        <v>4077</v>
      </c>
      <c r="BQ130" s="12" t="s">
        <v>4077</v>
      </c>
      <c r="BR130" s="12" t="s">
        <v>4077</v>
      </c>
      <c r="BS130" s="12" t="s">
        <v>4077</v>
      </c>
      <c r="BT130" s="12"/>
      <c r="BU130" s="12"/>
      <c r="BV130" s="12"/>
      <c r="BW130" s="67"/>
      <c r="BX130" s="67"/>
      <c r="BY130" s="67"/>
      <c r="BZ130" s="67"/>
      <c r="CA130" s="67"/>
      <c r="CB130" s="67" t="s">
        <v>1408</v>
      </c>
      <c r="CC130" s="67"/>
      <c r="CD130" s="67" t="s">
        <v>1416</v>
      </c>
      <c r="CE130" s="67" t="s">
        <v>1416</v>
      </c>
      <c r="CF130" s="67" t="s">
        <v>1416</v>
      </c>
      <c r="CG130" s="67"/>
      <c r="CH130" s="67"/>
      <c r="CI130" s="67"/>
      <c r="CJ130" s="67" t="s">
        <v>1408</v>
      </c>
      <c r="CK130" s="67"/>
      <c r="CL130" s="67" t="s">
        <v>1403</v>
      </c>
      <c r="CM130" s="67" t="s">
        <v>1403</v>
      </c>
      <c r="CN130" s="67" t="s">
        <v>1407</v>
      </c>
      <c r="CO130" s="67" t="s">
        <v>1406</v>
      </c>
      <c r="CP130" s="67"/>
      <c r="CQ130" s="67" t="s">
        <v>1412</v>
      </c>
      <c r="CR130" s="67" t="s">
        <v>1407</v>
      </c>
      <c r="CS130" s="67"/>
      <c r="CT130" s="67"/>
      <c r="CU130" s="67"/>
      <c r="CV130" s="67"/>
      <c r="CW130" s="67"/>
      <c r="CX130" s="67"/>
      <c r="CY130" s="67"/>
      <c r="CZ130" s="67" t="s">
        <v>1417</v>
      </c>
      <c r="DA130" s="67" t="s">
        <v>1416</v>
      </c>
      <c r="DB130" s="67"/>
      <c r="DC130" s="67"/>
      <c r="DD130" s="67"/>
      <c r="DE130" s="67"/>
      <c r="DF130" s="67"/>
      <c r="DG130" s="67"/>
      <c r="DH130" s="67"/>
      <c r="DI130" s="67" t="s">
        <v>1403</v>
      </c>
      <c r="DJ130" s="67"/>
      <c r="DK130" s="67"/>
      <c r="DL130" s="67"/>
      <c r="DM130" s="67"/>
      <c r="DN130" s="67"/>
      <c r="DO130" s="67"/>
      <c r="DP130" s="67"/>
      <c r="DQ130" s="67"/>
      <c r="DR130" s="67"/>
      <c r="DS130" s="67"/>
      <c r="DT130" s="67"/>
      <c r="DU130" s="67"/>
      <c r="DV130" s="67"/>
      <c r="DW130" s="67"/>
      <c r="DX130" s="67" t="s">
        <v>1403</v>
      </c>
      <c r="DY130" s="67" t="s">
        <v>1585</v>
      </c>
      <c r="DZ130" s="67"/>
      <c r="EA130" s="67"/>
      <c r="EB130" s="67"/>
      <c r="EC130" s="67"/>
      <c r="ED130" s="67"/>
      <c r="EE130" s="67"/>
      <c r="EF130" s="67"/>
      <c r="EG130" s="67"/>
      <c r="EH130" s="67">
        <v>7</v>
      </c>
    </row>
    <row r="131" spans="36:138" x14ac:dyDescent="0.2">
      <c r="AJ131" s="12"/>
      <c r="AK131" s="12"/>
      <c r="AL131" s="12"/>
      <c r="AM131" s="12"/>
      <c r="AN131" s="12"/>
      <c r="AO131" s="12"/>
      <c r="AP131" s="12"/>
      <c r="AQ131" s="12"/>
      <c r="AR131" s="12"/>
      <c r="AS131" s="12"/>
      <c r="AT131" s="12"/>
      <c r="AU131" s="12"/>
      <c r="AV131" s="12"/>
      <c r="AW131" s="12"/>
      <c r="AX131" s="12"/>
      <c r="AY131" s="12"/>
      <c r="AZ131" s="12"/>
      <c r="BA131" s="12"/>
      <c r="BB131" s="12"/>
      <c r="BC131" s="12"/>
      <c r="BD131" s="12"/>
      <c r="BE131" s="12"/>
      <c r="BF131" s="12"/>
      <c r="BG131" s="12"/>
      <c r="BH131" s="12"/>
      <c r="BI131" s="12"/>
      <c r="BJ131" s="12"/>
      <c r="BK131" s="12"/>
      <c r="BL131" s="12"/>
      <c r="BM131" s="12"/>
      <c r="BN131" s="12"/>
      <c r="BO131" s="12"/>
      <c r="BP131" s="12"/>
      <c r="BQ131" s="12"/>
      <c r="BR131" s="12"/>
      <c r="BS131" s="12"/>
      <c r="BT131" s="12"/>
      <c r="BU131" s="12"/>
      <c r="BV131" s="12"/>
      <c r="BW131" s="67"/>
      <c r="BX131" s="67"/>
      <c r="BY131" s="67"/>
      <c r="BZ131" s="67"/>
      <c r="CA131" s="67"/>
      <c r="CB131" s="67" t="s">
        <v>1406</v>
      </c>
      <c r="CC131" s="67"/>
      <c r="CD131" s="67"/>
      <c r="CE131" s="67"/>
      <c r="CF131" s="67"/>
      <c r="CG131" s="67"/>
      <c r="CH131" s="67"/>
      <c r="CI131" s="67"/>
      <c r="CJ131" s="67"/>
      <c r="CK131" s="67"/>
      <c r="CL131" s="67"/>
      <c r="CM131" s="67" t="s">
        <v>1406</v>
      </c>
      <c r="CN131" s="67" t="s">
        <v>1406</v>
      </c>
      <c r="CO131" s="67"/>
      <c r="CP131" s="67"/>
      <c r="CQ131" s="67" t="s">
        <v>1414</v>
      </c>
      <c r="CR131" s="67"/>
      <c r="CS131" s="67"/>
      <c r="CT131" s="67"/>
      <c r="CU131" s="67"/>
      <c r="CV131" s="67"/>
      <c r="CW131" s="67"/>
      <c r="CX131" s="67"/>
      <c r="CY131" s="67"/>
      <c r="CZ131" s="67"/>
      <c r="DA131" s="67"/>
      <c r="DB131" s="67"/>
      <c r="DC131" s="67"/>
      <c r="DD131" s="67"/>
      <c r="DE131" s="67"/>
      <c r="DF131" s="67"/>
      <c r="DG131" s="67"/>
      <c r="DH131" s="67"/>
      <c r="DI131" s="67"/>
      <c r="DJ131" s="67"/>
      <c r="DK131" s="67"/>
      <c r="DL131" s="67"/>
      <c r="DM131" s="67"/>
      <c r="DN131" s="67"/>
      <c r="DO131" s="67"/>
      <c r="DP131" s="67"/>
      <c r="DQ131" s="67"/>
      <c r="DR131" s="67"/>
      <c r="DS131" s="67"/>
      <c r="DT131" s="67"/>
      <c r="DU131" s="67"/>
      <c r="DV131" s="67"/>
      <c r="DW131" s="67"/>
      <c r="DX131" s="67"/>
      <c r="DY131" s="67"/>
      <c r="DZ131" s="67"/>
      <c r="EA131" s="67"/>
      <c r="EB131" s="67"/>
      <c r="EC131" s="67"/>
      <c r="ED131" s="67"/>
      <c r="EE131" s="67"/>
      <c r="EF131" s="67"/>
      <c r="EG131" s="67"/>
      <c r="EH131" s="67">
        <v>8</v>
      </c>
    </row>
    <row r="132" spans="36:138" x14ac:dyDescent="0.2">
      <c r="AJ132" s="12"/>
      <c r="AK132" s="12"/>
      <c r="AL132" s="12"/>
      <c r="AM132" s="12"/>
      <c r="AN132" s="12"/>
      <c r="AO132" s="12"/>
      <c r="AP132" s="12"/>
      <c r="AQ132" s="12"/>
      <c r="AR132" s="12"/>
      <c r="AS132" s="12"/>
      <c r="AT132" s="12"/>
      <c r="AU132" s="12"/>
      <c r="AV132" s="12"/>
      <c r="AW132" s="12"/>
      <c r="AX132" s="12"/>
      <c r="AY132" s="12"/>
      <c r="AZ132" s="12"/>
      <c r="BA132" s="12"/>
      <c r="BB132" s="12"/>
      <c r="BC132" s="12"/>
      <c r="BD132" s="12"/>
      <c r="BE132" s="12"/>
      <c r="BF132" s="12"/>
      <c r="BG132" s="12"/>
      <c r="BH132" s="12"/>
      <c r="BI132" s="12"/>
      <c r="BJ132" s="12"/>
      <c r="BK132" s="12"/>
      <c r="BL132" s="12"/>
      <c r="BM132" s="12"/>
      <c r="BN132" s="12"/>
      <c r="BO132" s="12"/>
      <c r="BP132" s="12"/>
      <c r="BQ132" s="12"/>
      <c r="BR132" s="12"/>
      <c r="BS132" s="12"/>
      <c r="BT132" s="12"/>
      <c r="BU132" s="12"/>
      <c r="BV132" s="12"/>
      <c r="BW132" s="67"/>
      <c r="BX132" s="67"/>
      <c r="BY132" s="67"/>
      <c r="BZ132" s="67"/>
      <c r="CA132" s="67"/>
      <c r="CB132" s="67" t="s">
        <v>1406</v>
      </c>
      <c r="CC132" s="67"/>
      <c r="CD132" s="67"/>
      <c r="CE132" s="67"/>
      <c r="CF132" s="67"/>
      <c r="CG132" s="67"/>
      <c r="CH132" s="67"/>
      <c r="CI132" s="67"/>
      <c r="CJ132" s="67"/>
      <c r="CK132" s="67"/>
      <c r="CL132" s="67"/>
      <c r="CM132" s="67" t="s">
        <v>1406</v>
      </c>
      <c r="CN132" s="67" t="s">
        <v>1406</v>
      </c>
      <c r="CO132" s="67"/>
      <c r="CP132" s="67"/>
      <c r="CQ132" s="67" t="s">
        <v>1414</v>
      </c>
      <c r="CR132" s="67"/>
      <c r="CS132" s="67"/>
      <c r="CT132" s="67"/>
      <c r="CU132" s="67"/>
      <c r="CV132" s="67"/>
      <c r="CW132" s="67"/>
      <c r="CX132" s="67"/>
      <c r="CY132" s="67"/>
      <c r="CZ132" s="67"/>
      <c r="DA132" s="67"/>
      <c r="DB132" s="67"/>
      <c r="DC132" s="67"/>
      <c r="DD132" s="67"/>
      <c r="DE132" s="67"/>
      <c r="DF132" s="67"/>
      <c r="DG132" s="67"/>
      <c r="DH132" s="67"/>
      <c r="DI132" s="67"/>
      <c r="DJ132" s="67"/>
      <c r="DK132" s="67"/>
      <c r="DL132" s="67"/>
      <c r="DM132" s="67"/>
      <c r="DN132" s="67"/>
      <c r="DO132" s="67"/>
      <c r="DP132" s="67"/>
      <c r="DQ132" s="67"/>
      <c r="DR132" s="67"/>
      <c r="DS132" s="67"/>
      <c r="DT132" s="67"/>
      <c r="DU132" s="67"/>
      <c r="DV132" s="67"/>
      <c r="DW132" s="67"/>
      <c r="DX132" s="67"/>
      <c r="DY132" s="67"/>
      <c r="DZ132" s="67"/>
      <c r="EA132" s="67"/>
      <c r="EB132" s="67"/>
      <c r="EC132" s="67"/>
      <c r="ED132" s="67"/>
      <c r="EE132" s="67"/>
      <c r="EF132" s="67"/>
      <c r="EG132" s="67"/>
      <c r="EH132" s="67">
        <v>9</v>
      </c>
    </row>
    <row r="133" spans="36:138" x14ac:dyDescent="0.2">
      <c r="AJ133" s="12"/>
      <c r="AK133" s="12"/>
      <c r="AL133" s="12"/>
      <c r="AM133" s="12"/>
      <c r="AN133" s="12"/>
      <c r="AO133" s="12"/>
      <c r="AP133" s="12"/>
      <c r="AQ133" s="12"/>
      <c r="AR133" s="12"/>
      <c r="AS133" s="12"/>
      <c r="AT133" s="12"/>
      <c r="AU133" s="12"/>
      <c r="AV133" s="12"/>
      <c r="AW133" s="12"/>
      <c r="AX133" s="12"/>
      <c r="AY133" s="12"/>
      <c r="AZ133" s="12"/>
      <c r="BA133" s="12"/>
      <c r="BB133" s="12"/>
      <c r="BC133" s="12"/>
      <c r="BD133" s="12"/>
      <c r="BE133" s="12"/>
      <c r="BF133" s="12"/>
      <c r="BG133" s="12"/>
      <c r="BH133" s="12"/>
      <c r="BI133" s="12"/>
      <c r="BJ133" s="12"/>
      <c r="BK133" s="12"/>
      <c r="BL133" s="12"/>
      <c r="BM133" s="12"/>
      <c r="BN133" s="12"/>
      <c r="BO133" s="12"/>
      <c r="BP133" s="12"/>
      <c r="BQ133" s="12"/>
      <c r="BR133" s="12"/>
      <c r="BS133" s="12"/>
      <c r="BT133" s="12"/>
      <c r="BU133" s="12"/>
      <c r="BV133" s="12"/>
      <c r="BW133" s="67"/>
      <c r="BX133" s="67"/>
      <c r="BY133" s="67"/>
      <c r="BZ133" s="67"/>
      <c r="CA133" s="67"/>
      <c r="CB133" s="67"/>
      <c r="CC133" s="67"/>
      <c r="CD133" s="67"/>
      <c r="CE133" s="67"/>
      <c r="CF133" s="67"/>
      <c r="CG133" s="67"/>
      <c r="CH133" s="67"/>
      <c r="CI133" s="67"/>
      <c r="CJ133" s="67"/>
      <c r="CK133" s="67"/>
      <c r="CL133" s="67"/>
      <c r="CM133" s="67"/>
      <c r="CN133" s="67"/>
      <c r="CO133" s="67"/>
      <c r="CP133" s="67"/>
      <c r="CQ133" s="67"/>
      <c r="CR133" s="67"/>
      <c r="CS133" s="67"/>
      <c r="CT133" s="67"/>
      <c r="CU133" s="67"/>
      <c r="CV133" s="67"/>
      <c r="CW133" s="67"/>
      <c r="CX133" s="67"/>
      <c r="CY133" s="67"/>
      <c r="CZ133" s="67"/>
      <c r="DA133" s="67"/>
      <c r="DB133" s="67"/>
      <c r="DC133" s="67"/>
      <c r="DD133" s="67"/>
      <c r="DE133" s="67"/>
      <c r="DF133" s="67"/>
      <c r="DG133" s="67"/>
      <c r="DH133" s="67"/>
      <c r="DI133" s="67"/>
      <c r="DJ133" s="67"/>
      <c r="DK133" s="67"/>
      <c r="DL133" s="67"/>
      <c r="DM133" s="67"/>
      <c r="DN133" s="67"/>
      <c r="DO133" s="67"/>
      <c r="DP133" s="67"/>
      <c r="DQ133" s="67"/>
      <c r="DR133" s="67"/>
      <c r="DS133" s="67"/>
      <c r="DT133" s="67"/>
      <c r="DU133" s="67"/>
      <c r="DV133" s="67"/>
      <c r="DW133" s="67"/>
      <c r="DX133" s="67"/>
      <c r="DY133" s="67"/>
      <c r="DZ133" s="67"/>
      <c r="EA133" s="67"/>
      <c r="EB133" s="67"/>
      <c r="EC133" s="67"/>
      <c r="ED133" s="67"/>
      <c r="EE133" s="67"/>
      <c r="EF133" s="67"/>
      <c r="EG133" s="67"/>
      <c r="EH133" s="67">
        <v>10</v>
      </c>
    </row>
    <row r="134" spans="36:138" x14ac:dyDescent="0.2">
      <c r="AJ134" s="12"/>
      <c r="AK134" s="12"/>
      <c r="AL134" s="12"/>
      <c r="AM134" s="12"/>
      <c r="AN134" s="12"/>
      <c r="AO134" s="12"/>
      <c r="AP134" s="12"/>
      <c r="AQ134" s="12"/>
      <c r="AR134" s="12"/>
      <c r="AS134" s="12"/>
      <c r="AT134" s="12"/>
      <c r="AU134" s="12"/>
      <c r="AV134" s="12"/>
      <c r="AW134" s="12"/>
      <c r="AX134" s="12"/>
      <c r="AY134" s="12"/>
      <c r="AZ134" s="12"/>
      <c r="BA134" s="12"/>
      <c r="BB134" s="12"/>
      <c r="BC134" s="12"/>
      <c r="BD134" s="12"/>
      <c r="BE134" s="12"/>
      <c r="BF134" s="12"/>
      <c r="BG134" s="12"/>
      <c r="BH134" s="12"/>
      <c r="BI134" s="12"/>
      <c r="BJ134" s="12"/>
      <c r="BK134" s="12"/>
      <c r="BL134" s="12"/>
      <c r="BM134" s="12"/>
      <c r="BN134" s="12"/>
      <c r="BO134" s="12"/>
      <c r="BP134" s="12"/>
      <c r="BQ134" s="12"/>
      <c r="BR134" s="12"/>
      <c r="BS134" s="12"/>
      <c r="BT134" s="12"/>
      <c r="BU134" s="12"/>
      <c r="BV134" s="12"/>
      <c r="BW134" s="67"/>
      <c r="BX134" s="67"/>
      <c r="BY134" s="67"/>
      <c r="BZ134" s="67"/>
      <c r="CA134" s="67"/>
      <c r="CB134" s="67"/>
      <c r="CC134" s="67"/>
      <c r="CD134" s="67"/>
      <c r="CE134" s="67"/>
      <c r="CF134" s="67"/>
      <c r="CG134" s="67"/>
      <c r="CH134" s="67"/>
      <c r="CI134" s="67"/>
      <c r="CJ134" s="67"/>
      <c r="CK134" s="67"/>
      <c r="CL134" s="67"/>
      <c r="CM134" s="67"/>
      <c r="CN134" s="67"/>
      <c r="CO134" s="67"/>
      <c r="CP134" s="67"/>
      <c r="CQ134" s="67"/>
      <c r="CR134" s="67"/>
      <c r="CS134" s="67"/>
      <c r="CT134" s="67"/>
      <c r="CU134" s="67"/>
      <c r="CV134" s="67"/>
      <c r="CW134" s="67"/>
      <c r="CX134" s="67"/>
      <c r="CY134" s="67"/>
      <c r="CZ134" s="67"/>
      <c r="DA134" s="67"/>
      <c r="DB134" s="67"/>
      <c r="DC134" s="67"/>
      <c r="DD134" s="67"/>
      <c r="DE134" s="67"/>
      <c r="DF134" s="67"/>
      <c r="DG134" s="67"/>
      <c r="DH134" s="67"/>
      <c r="DI134" s="67"/>
      <c r="DJ134" s="67"/>
      <c r="DK134" s="67"/>
      <c r="DL134" s="67"/>
      <c r="DM134" s="67"/>
      <c r="DN134" s="67"/>
      <c r="DO134" s="67"/>
      <c r="DP134" s="67"/>
      <c r="DQ134" s="67"/>
      <c r="DR134" s="67"/>
      <c r="DS134" s="67"/>
      <c r="DT134" s="67"/>
      <c r="DU134" s="67"/>
      <c r="DV134" s="67"/>
      <c r="DW134" s="67"/>
      <c r="DX134" s="67"/>
      <c r="DY134" s="67"/>
      <c r="DZ134" s="67"/>
      <c r="EA134" s="67"/>
      <c r="EB134" s="67"/>
      <c r="EC134" s="67"/>
      <c r="ED134" s="67"/>
      <c r="EE134" s="67"/>
      <c r="EF134" s="67"/>
    </row>
    <row r="135" spans="36:138" x14ac:dyDescent="0.2">
      <c r="AJ135" s="78" t="s">
        <v>4745</v>
      </c>
      <c r="AK135" s="12" t="s">
        <v>969</v>
      </c>
      <c r="AL135" s="12" t="s">
        <v>4816</v>
      </c>
      <c r="AM135" s="12" t="s">
        <v>4817</v>
      </c>
      <c r="AN135" s="12" t="s">
        <v>4818</v>
      </c>
      <c r="AO135" s="12" t="s">
        <v>4819</v>
      </c>
      <c r="AP135" s="12" t="s">
        <v>4820</v>
      </c>
      <c r="AQ135" s="12" t="s">
        <v>4821</v>
      </c>
      <c r="AR135" s="12" t="s">
        <v>4822</v>
      </c>
      <c r="AS135" s="12" t="s">
        <v>4823</v>
      </c>
      <c r="AT135" s="12" t="s">
        <v>4824</v>
      </c>
      <c r="AU135" s="12" t="s">
        <v>4825</v>
      </c>
      <c r="AV135" s="12" t="s">
        <v>4826</v>
      </c>
      <c r="AW135" s="12" t="s">
        <v>4827</v>
      </c>
      <c r="AX135" s="12" t="s">
        <v>4828</v>
      </c>
      <c r="AY135" s="12" t="s">
        <v>4829</v>
      </c>
      <c r="AZ135" s="12" t="s">
        <v>4830</v>
      </c>
      <c r="BA135" s="12" t="s">
        <v>4831</v>
      </c>
      <c r="BB135" s="12" t="s">
        <v>4832</v>
      </c>
      <c r="BC135" s="12" t="s">
        <v>984</v>
      </c>
      <c r="BD135" s="12" t="s">
        <v>4833</v>
      </c>
      <c r="BE135" s="12" t="s">
        <v>4834</v>
      </c>
      <c r="BF135" s="12" t="s">
        <v>4835</v>
      </c>
      <c r="BG135" s="12" t="s">
        <v>4836</v>
      </c>
      <c r="BH135" s="12" t="s">
        <v>4837</v>
      </c>
      <c r="BI135" s="12" t="s">
        <v>4838</v>
      </c>
      <c r="BJ135" s="12" t="s">
        <v>4839</v>
      </c>
      <c r="BK135" s="12" t="s">
        <v>4840</v>
      </c>
      <c r="BL135" s="12" t="s">
        <v>4841</v>
      </c>
      <c r="BM135" s="12" t="s">
        <v>4842</v>
      </c>
      <c r="BN135" s="12" t="s">
        <v>4843</v>
      </c>
      <c r="BO135" s="12" t="s">
        <v>4844</v>
      </c>
      <c r="BP135" s="12" t="s">
        <v>4845</v>
      </c>
      <c r="BQ135" s="12" t="s">
        <v>4846</v>
      </c>
      <c r="BR135" s="12" t="s">
        <v>4847</v>
      </c>
      <c r="BS135" s="12" t="s">
        <v>4848</v>
      </c>
      <c r="BT135" s="12" t="s">
        <v>4849</v>
      </c>
      <c r="BU135" s="12" t="s">
        <v>4850</v>
      </c>
      <c r="BV135" s="12" t="s">
        <v>4851</v>
      </c>
      <c r="BW135" s="67" t="s">
        <v>4852</v>
      </c>
      <c r="BX135" s="67" t="s">
        <v>4853</v>
      </c>
      <c r="BY135" s="67" t="s">
        <v>4854</v>
      </c>
      <c r="BZ135" s="67" t="s">
        <v>4855</v>
      </c>
      <c r="CA135" s="67" t="s">
        <v>4856</v>
      </c>
      <c r="CB135" s="67" t="s">
        <v>4857</v>
      </c>
      <c r="CC135" s="67" t="s">
        <v>4858</v>
      </c>
      <c r="CD135" s="67" t="s">
        <v>4859</v>
      </c>
      <c r="CE135" s="67" t="s">
        <v>4860</v>
      </c>
      <c r="CF135" s="67" t="s">
        <v>4861</v>
      </c>
      <c r="CG135" s="67" t="s">
        <v>4862</v>
      </c>
      <c r="CH135" s="67" t="s">
        <v>4863</v>
      </c>
      <c r="CI135" s="67" t="s">
        <v>4864</v>
      </c>
      <c r="CJ135" s="67" t="s">
        <v>4865</v>
      </c>
      <c r="CK135" s="67" t="s">
        <v>5473</v>
      </c>
      <c r="CL135" s="67" t="s">
        <v>4866</v>
      </c>
      <c r="CM135" s="67" t="s">
        <v>4867</v>
      </c>
      <c r="CN135" s="67" t="s">
        <v>4868</v>
      </c>
      <c r="CO135" s="67" t="s">
        <v>4869</v>
      </c>
      <c r="CP135" s="67" t="s">
        <v>4870</v>
      </c>
      <c r="CQ135" s="67" t="s">
        <v>4871</v>
      </c>
      <c r="CR135" s="67" t="s">
        <v>4872</v>
      </c>
      <c r="CS135" s="67" t="s">
        <v>4873</v>
      </c>
      <c r="CT135" s="67" t="s">
        <v>4874</v>
      </c>
      <c r="CU135" s="67" t="s">
        <v>4875</v>
      </c>
      <c r="CV135" s="67" t="s">
        <v>4876</v>
      </c>
      <c r="CW135" s="67" t="s">
        <v>4877</v>
      </c>
      <c r="CX135" s="67" t="s">
        <v>4878</v>
      </c>
      <c r="CY135" s="67" t="s">
        <v>4879</v>
      </c>
      <c r="CZ135" s="67" t="s">
        <v>4880</v>
      </c>
      <c r="DA135" s="67" t="s">
        <v>4881</v>
      </c>
      <c r="DB135" s="67" t="s">
        <v>4882</v>
      </c>
      <c r="DC135" s="67" t="s">
        <v>4883</v>
      </c>
      <c r="DD135" s="67" t="s">
        <v>4884</v>
      </c>
      <c r="DE135" s="67" t="s">
        <v>4885</v>
      </c>
      <c r="DF135" s="67" t="s">
        <v>4886</v>
      </c>
      <c r="DG135" s="67" t="s">
        <v>4887</v>
      </c>
      <c r="DH135" s="67" t="s">
        <v>4888</v>
      </c>
      <c r="DI135" s="67" t="s">
        <v>4889</v>
      </c>
      <c r="DJ135" s="67" t="s">
        <v>4890</v>
      </c>
      <c r="DK135" s="67" t="s">
        <v>4891</v>
      </c>
      <c r="DL135" s="67" t="s">
        <v>4892</v>
      </c>
      <c r="DM135" s="67" t="s">
        <v>4893</v>
      </c>
      <c r="DN135" s="67" t="s">
        <v>4894</v>
      </c>
      <c r="DO135" s="67" t="s">
        <v>4895</v>
      </c>
      <c r="DP135" s="67" t="s">
        <v>4896</v>
      </c>
      <c r="DQ135" s="67" t="s">
        <v>4897</v>
      </c>
      <c r="DR135" s="67" t="s">
        <v>4898</v>
      </c>
      <c r="DS135" s="67" t="s">
        <v>4899</v>
      </c>
      <c r="DT135" s="67" t="s">
        <v>4900</v>
      </c>
      <c r="DU135" s="67" t="s">
        <v>4901</v>
      </c>
      <c r="DV135" s="67" t="s">
        <v>4902</v>
      </c>
      <c r="DW135" s="67" t="s">
        <v>4903</v>
      </c>
      <c r="DX135" s="67" t="s">
        <v>4904</v>
      </c>
      <c r="DY135" s="67" t="s">
        <v>4905</v>
      </c>
      <c r="DZ135" s="67" t="s">
        <v>4906</v>
      </c>
      <c r="EA135" s="67" t="s">
        <v>4907</v>
      </c>
      <c r="EB135" s="67" t="s">
        <v>4908</v>
      </c>
      <c r="EC135" s="67" t="s">
        <v>4909</v>
      </c>
      <c r="ED135" s="67" t="s">
        <v>4910</v>
      </c>
      <c r="EE135" s="67" t="s">
        <v>4911</v>
      </c>
      <c r="EF135" s="67" t="s">
        <v>4912</v>
      </c>
      <c r="EG135" s="67" t="s">
        <v>4913</v>
      </c>
      <c r="EH135" s="67" t="s">
        <v>4914</v>
      </c>
    </row>
    <row r="136" spans="36:138" x14ac:dyDescent="0.2">
      <c r="AJ136" s="12"/>
      <c r="AK136" s="78" t="s">
        <v>4062</v>
      </c>
      <c r="AL136" s="78" t="s">
        <v>958</v>
      </c>
      <c r="AM136" s="78" t="s">
        <v>957</v>
      </c>
      <c r="AN136" s="78" t="s">
        <v>4226</v>
      </c>
      <c r="AO136" s="78" t="s">
        <v>4225</v>
      </c>
      <c r="AP136" s="78" t="s">
        <v>4230</v>
      </c>
      <c r="AQ136" s="78" t="s">
        <v>4050</v>
      </c>
      <c r="AR136" s="78" t="s">
        <v>880</v>
      </c>
      <c r="AS136" s="78" t="s">
        <v>4041</v>
      </c>
      <c r="AT136" s="78" t="s">
        <v>4040</v>
      </c>
      <c r="AU136" s="78" t="s">
        <v>4049</v>
      </c>
      <c r="AV136" s="78" t="s">
        <v>4042</v>
      </c>
      <c r="AW136" s="78" t="s">
        <v>4052</v>
      </c>
      <c r="AX136" s="78" t="s">
        <v>4215</v>
      </c>
      <c r="AY136" s="78" t="s">
        <v>4054</v>
      </c>
      <c r="AZ136" s="78" t="s">
        <v>4227</v>
      </c>
      <c r="BA136" s="78" t="s">
        <v>4259</v>
      </c>
      <c r="BB136" s="78" t="s">
        <v>4237</v>
      </c>
      <c r="BC136" s="78" t="s">
        <v>4136</v>
      </c>
      <c r="BD136" s="78" t="s">
        <v>4064</v>
      </c>
      <c r="BE136" s="78" t="s">
        <v>4056</v>
      </c>
      <c r="BF136" s="78" t="s">
        <v>4057</v>
      </c>
      <c r="BG136" s="78" t="s">
        <v>4063</v>
      </c>
      <c r="BH136" s="78" t="s">
        <v>4065</v>
      </c>
      <c r="BI136" s="78" t="s">
        <v>4066</v>
      </c>
      <c r="BJ136" s="78" t="s">
        <v>4067</v>
      </c>
      <c r="BK136" s="78" t="s">
        <v>4058</v>
      </c>
      <c r="BL136" s="78" t="s">
        <v>4254</v>
      </c>
      <c r="BM136" s="78" t="s">
        <v>4059</v>
      </c>
      <c r="BN136" s="78" t="s">
        <v>4068</v>
      </c>
      <c r="BO136" s="78" t="s">
        <v>4060</v>
      </c>
      <c r="BP136" s="78" t="s">
        <v>4069</v>
      </c>
      <c r="BQ136" s="78" t="s">
        <v>4061</v>
      </c>
      <c r="BR136" s="78" t="s">
        <v>4070</v>
      </c>
      <c r="BS136" s="78" t="s">
        <v>4243</v>
      </c>
      <c r="BT136" s="78" t="s">
        <v>4071</v>
      </c>
      <c r="BU136" s="78" t="s">
        <v>894</v>
      </c>
      <c r="BV136" s="78" t="s">
        <v>1038</v>
      </c>
      <c r="BW136" s="87" t="s">
        <v>919</v>
      </c>
      <c r="BX136" s="87" t="s">
        <v>920</v>
      </c>
      <c r="BY136" s="88" t="s">
        <v>921</v>
      </c>
      <c r="BZ136" s="87" t="s">
        <v>922</v>
      </c>
      <c r="CA136" s="87" t="s">
        <v>923</v>
      </c>
      <c r="CB136" s="88" t="s">
        <v>924</v>
      </c>
      <c r="CC136" s="88" t="s">
        <v>925</v>
      </c>
      <c r="CD136" s="88" t="s">
        <v>926</v>
      </c>
      <c r="CE136" s="88" t="s">
        <v>927</v>
      </c>
      <c r="CF136" s="88" t="s">
        <v>875</v>
      </c>
      <c r="CG136" s="87" t="s">
        <v>918</v>
      </c>
      <c r="CH136" s="87" t="s">
        <v>928</v>
      </c>
      <c r="CI136" s="87" t="s">
        <v>929</v>
      </c>
      <c r="CJ136" s="88" t="s">
        <v>876</v>
      </c>
      <c r="CK136" s="86" t="s">
        <v>5474</v>
      </c>
      <c r="CL136" s="88" t="s">
        <v>877</v>
      </c>
      <c r="CM136" s="88" t="s">
        <v>878</v>
      </c>
      <c r="CN136" s="88" t="s">
        <v>879</v>
      </c>
      <c r="CO136" s="88" t="s">
        <v>880</v>
      </c>
      <c r="CP136" s="88" t="s">
        <v>930</v>
      </c>
      <c r="CQ136" s="88" t="s">
        <v>177</v>
      </c>
      <c r="CR136" s="88" t="s">
        <v>931</v>
      </c>
      <c r="CS136" s="88" t="s">
        <v>932</v>
      </c>
      <c r="CT136" s="88" t="s">
        <v>933</v>
      </c>
      <c r="CU136" s="88" t="s">
        <v>934</v>
      </c>
      <c r="CV136" s="88" t="s">
        <v>935</v>
      </c>
      <c r="CW136" s="88" t="s">
        <v>936</v>
      </c>
      <c r="CX136" s="88" t="s">
        <v>937</v>
      </c>
      <c r="CY136" s="87" t="s">
        <v>938</v>
      </c>
      <c r="CZ136" s="88" t="s">
        <v>939</v>
      </c>
      <c r="DA136" s="88" t="s">
        <v>940</v>
      </c>
      <c r="DB136" s="88" t="s">
        <v>941</v>
      </c>
      <c r="DC136" s="88" t="s">
        <v>942</v>
      </c>
      <c r="DD136" s="88" t="s">
        <v>943</v>
      </c>
      <c r="DE136" s="88" t="s">
        <v>887</v>
      </c>
      <c r="DF136" s="88" t="s">
        <v>944</v>
      </c>
      <c r="DG136" s="88" t="s">
        <v>945</v>
      </c>
      <c r="DH136" s="88" t="s">
        <v>946</v>
      </c>
      <c r="DI136" s="88" t="s">
        <v>947</v>
      </c>
      <c r="DJ136" s="88" t="s">
        <v>948</v>
      </c>
      <c r="DK136" s="88" t="s">
        <v>949</v>
      </c>
      <c r="DL136" s="88" t="s">
        <v>950</v>
      </c>
      <c r="DM136" s="87" t="s">
        <v>951</v>
      </c>
      <c r="DN136" s="88" t="s">
        <v>952</v>
      </c>
      <c r="DO136" s="88" t="s">
        <v>953</v>
      </c>
      <c r="DP136" s="88" t="s">
        <v>954</v>
      </c>
      <c r="DQ136" s="88" t="s">
        <v>955</v>
      </c>
      <c r="DR136" s="88" t="s">
        <v>889</v>
      </c>
      <c r="DS136" s="88" t="s">
        <v>890</v>
      </c>
      <c r="DT136" s="88" t="s">
        <v>891</v>
      </c>
      <c r="DU136" s="88" t="s">
        <v>892</v>
      </c>
      <c r="DV136" s="88" t="s">
        <v>956</v>
      </c>
      <c r="DW136" s="88" t="s">
        <v>4746</v>
      </c>
      <c r="DX136" s="88" t="s">
        <v>895</v>
      </c>
      <c r="DY136" s="88" t="s">
        <v>896</v>
      </c>
      <c r="DZ136" s="87" t="s">
        <v>959</v>
      </c>
      <c r="EA136" s="87" t="s">
        <v>960</v>
      </c>
      <c r="EB136" s="78" t="s">
        <v>1039</v>
      </c>
      <c r="EC136" s="87" t="s">
        <v>962</v>
      </c>
      <c r="ED136" s="87" t="s">
        <v>963</v>
      </c>
      <c r="EE136" s="87" t="s">
        <v>964</v>
      </c>
      <c r="EF136" s="87" t="s">
        <v>965</v>
      </c>
      <c r="EG136" s="87" t="s">
        <v>966</v>
      </c>
      <c r="EH136" s="67"/>
    </row>
    <row r="137" spans="36:138" x14ac:dyDescent="0.2">
      <c r="AJ137" s="78"/>
      <c r="AK137" s="12">
        <v>8</v>
      </c>
      <c r="AL137" s="12">
        <v>8</v>
      </c>
      <c r="AM137" s="12">
        <v>8</v>
      </c>
      <c r="AN137" s="12">
        <v>8</v>
      </c>
      <c r="AO137" s="12">
        <v>8</v>
      </c>
      <c r="AP137" s="12">
        <v>8</v>
      </c>
      <c r="AQ137" s="12">
        <v>8</v>
      </c>
      <c r="AR137" s="12">
        <v>8</v>
      </c>
      <c r="AS137" s="12">
        <v>8</v>
      </c>
      <c r="AT137" s="12">
        <v>8</v>
      </c>
      <c r="AU137" s="12">
        <v>8</v>
      </c>
      <c r="AV137" s="12">
        <v>8</v>
      </c>
      <c r="AW137" s="12">
        <v>8</v>
      </c>
      <c r="AX137" s="12">
        <v>8</v>
      </c>
      <c r="AY137" s="12">
        <v>8</v>
      </c>
      <c r="AZ137" s="12">
        <v>8</v>
      </c>
      <c r="BA137" s="12">
        <v>8</v>
      </c>
      <c r="BB137" s="12">
        <v>8</v>
      </c>
      <c r="BC137" s="12">
        <v>7</v>
      </c>
      <c r="BD137" s="12">
        <v>7</v>
      </c>
      <c r="BE137" s="12">
        <v>7</v>
      </c>
      <c r="BF137" s="12">
        <v>7</v>
      </c>
      <c r="BG137" s="12">
        <v>7</v>
      </c>
      <c r="BH137" s="12">
        <v>7</v>
      </c>
      <c r="BI137" s="12">
        <v>7</v>
      </c>
      <c r="BJ137" s="12">
        <v>7</v>
      </c>
      <c r="BK137" s="12">
        <v>7</v>
      </c>
      <c r="BL137" s="12">
        <v>7</v>
      </c>
      <c r="BM137" s="12">
        <v>7</v>
      </c>
      <c r="BN137" s="12">
        <v>7</v>
      </c>
      <c r="BO137" s="12">
        <v>7</v>
      </c>
      <c r="BP137" s="12">
        <v>7</v>
      </c>
      <c r="BQ137" s="12">
        <v>7</v>
      </c>
      <c r="BR137" s="12">
        <v>7</v>
      </c>
      <c r="BS137" s="12">
        <v>7</v>
      </c>
      <c r="BT137" s="12">
        <v>7</v>
      </c>
      <c r="BU137" s="12">
        <v>7</v>
      </c>
      <c r="BV137" s="12">
        <v>7</v>
      </c>
      <c r="BW137" s="67">
        <v>8</v>
      </c>
      <c r="BX137" s="67">
        <v>8</v>
      </c>
      <c r="BY137" s="67">
        <v>8</v>
      </c>
      <c r="BZ137" s="67">
        <v>8</v>
      </c>
      <c r="CA137" s="67">
        <v>8</v>
      </c>
      <c r="CB137" s="67">
        <v>7</v>
      </c>
      <c r="CC137" s="67">
        <v>8</v>
      </c>
      <c r="CD137" s="67">
        <v>8</v>
      </c>
      <c r="CE137" s="67">
        <v>8</v>
      </c>
      <c r="CF137" s="67">
        <v>8</v>
      </c>
      <c r="CG137" s="67">
        <v>8</v>
      </c>
      <c r="CH137" s="67">
        <v>8</v>
      </c>
      <c r="CI137" s="67">
        <v>8</v>
      </c>
      <c r="CJ137" s="67">
        <v>8</v>
      </c>
      <c r="CK137" s="67">
        <v>10</v>
      </c>
      <c r="CL137" s="67">
        <v>8</v>
      </c>
      <c r="CM137" s="67">
        <v>8</v>
      </c>
      <c r="CN137" s="67">
        <v>8</v>
      </c>
      <c r="CO137" s="67">
        <v>8</v>
      </c>
      <c r="CP137" s="67">
        <v>8</v>
      </c>
      <c r="CQ137" s="67">
        <v>8</v>
      </c>
      <c r="CR137" s="67">
        <v>8</v>
      </c>
      <c r="CS137" s="67">
        <v>8</v>
      </c>
      <c r="CT137" s="67">
        <v>8</v>
      </c>
      <c r="CU137" s="67">
        <v>8</v>
      </c>
      <c r="CV137" s="67">
        <v>8</v>
      </c>
      <c r="CW137" s="67">
        <v>8</v>
      </c>
      <c r="CX137" s="67">
        <v>8</v>
      </c>
      <c r="CY137" s="67">
        <v>8</v>
      </c>
      <c r="CZ137" s="67">
        <v>8</v>
      </c>
      <c r="DA137" s="67">
        <v>8</v>
      </c>
      <c r="DB137" s="67">
        <v>8</v>
      </c>
      <c r="DC137" s="67">
        <v>8</v>
      </c>
      <c r="DD137" s="67">
        <v>8</v>
      </c>
      <c r="DE137" s="67">
        <v>8</v>
      </c>
      <c r="DF137" s="67">
        <v>8</v>
      </c>
      <c r="DG137" s="67">
        <v>8</v>
      </c>
      <c r="DH137" s="67">
        <v>8</v>
      </c>
      <c r="DI137" s="67">
        <v>8</v>
      </c>
      <c r="DJ137" s="67">
        <v>8</v>
      </c>
      <c r="DK137" s="67">
        <v>8</v>
      </c>
      <c r="DL137" s="67">
        <v>8</v>
      </c>
      <c r="DM137" s="67">
        <v>8</v>
      </c>
      <c r="DN137" s="67">
        <v>8</v>
      </c>
      <c r="DO137" s="67">
        <v>8</v>
      </c>
      <c r="DP137" s="67">
        <v>8</v>
      </c>
      <c r="DQ137" s="67">
        <v>8</v>
      </c>
      <c r="DR137" s="67"/>
      <c r="DS137" s="67"/>
      <c r="DT137" s="67">
        <v>8</v>
      </c>
      <c r="DU137" s="67">
        <v>8</v>
      </c>
      <c r="DV137" s="67">
        <v>8</v>
      </c>
      <c r="DW137" s="67">
        <v>8</v>
      </c>
      <c r="DX137" s="67">
        <v>8</v>
      </c>
      <c r="DY137" s="67">
        <v>8</v>
      </c>
      <c r="DZ137" s="67">
        <v>4</v>
      </c>
      <c r="EA137" s="67">
        <v>4</v>
      </c>
      <c r="EB137" s="67">
        <v>8</v>
      </c>
      <c r="EC137" s="67">
        <v>6</v>
      </c>
      <c r="ED137" s="67">
        <v>4</v>
      </c>
      <c r="EE137" s="67">
        <v>4</v>
      </c>
      <c r="EF137" s="67"/>
      <c r="EG137" s="67"/>
      <c r="EH137" s="67">
        <v>2</v>
      </c>
    </row>
    <row r="138" spans="36:138" x14ac:dyDescent="0.2">
      <c r="AJ138" s="12"/>
      <c r="AK138" s="12">
        <v>8</v>
      </c>
      <c r="AL138" s="12">
        <v>8</v>
      </c>
      <c r="AM138" s="12">
        <v>8</v>
      </c>
      <c r="AN138" s="12">
        <v>8</v>
      </c>
      <c r="AO138" s="12">
        <v>8</v>
      </c>
      <c r="AP138" s="12">
        <v>8</v>
      </c>
      <c r="AQ138" s="12">
        <v>8</v>
      </c>
      <c r="AR138" s="12">
        <v>8</v>
      </c>
      <c r="AS138" s="12">
        <v>8</v>
      </c>
      <c r="AT138" s="12">
        <v>8</v>
      </c>
      <c r="AU138" s="12">
        <v>8</v>
      </c>
      <c r="AV138" s="12">
        <v>8</v>
      </c>
      <c r="AW138" s="12">
        <v>8</v>
      </c>
      <c r="AX138" s="12">
        <v>8</v>
      </c>
      <c r="AY138" s="12">
        <v>8</v>
      </c>
      <c r="AZ138" s="12">
        <v>8</v>
      </c>
      <c r="BA138" s="12">
        <v>8</v>
      </c>
      <c r="BB138" s="12">
        <v>8</v>
      </c>
      <c r="BC138" s="12">
        <v>7</v>
      </c>
      <c r="BD138" s="12">
        <v>7</v>
      </c>
      <c r="BE138" s="12">
        <v>7</v>
      </c>
      <c r="BF138" s="12">
        <v>7</v>
      </c>
      <c r="BG138" s="12">
        <v>7</v>
      </c>
      <c r="BH138" s="12">
        <v>7</v>
      </c>
      <c r="BI138" s="12">
        <v>7</v>
      </c>
      <c r="BJ138" s="12">
        <v>7</v>
      </c>
      <c r="BK138" s="12">
        <v>7</v>
      </c>
      <c r="BL138" s="12">
        <v>7</v>
      </c>
      <c r="BM138" s="12">
        <v>7</v>
      </c>
      <c r="BN138" s="12">
        <v>7</v>
      </c>
      <c r="BO138" s="12">
        <v>7</v>
      </c>
      <c r="BP138" s="12">
        <v>7</v>
      </c>
      <c r="BQ138" s="12">
        <v>7</v>
      </c>
      <c r="BR138" s="12">
        <v>7</v>
      </c>
      <c r="BS138" s="12">
        <v>7</v>
      </c>
      <c r="BT138" s="12">
        <v>7</v>
      </c>
      <c r="BU138" s="12">
        <v>7</v>
      </c>
      <c r="BV138" s="12">
        <v>7</v>
      </c>
      <c r="BW138" s="67"/>
      <c r="BX138" s="67"/>
      <c r="BY138" s="67">
        <v>8</v>
      </c>
      <c r="BZ138" s="67">
        <v>8</v>
      </c>
      <c r="CA138" s="67">
        <v>8</v>
      </c>
      <c r="CB138" s="67">
        <v>7</v>
      </c>
      <c r="CC138" s="67">
        <v>8</v>
      </c>
      <c r="CD138" s="67">
        <v>8</v>
      </c>
      <c r="CE138" s="67">
        <v>8</v>
      </c>
      <c r="CF138" s="67">
        <v>8</v>
      </c>
      <c r="CG138" s="67">
        <v>8</v>
      </c>
      <c r="CH138" s="67">
        <v>8</v>
      </c>
      <c r="CI138" s="67">
        <v>8</v>
      </c>
      <c r="CJ138" s="67">
        <v>8</v>
      </c>
      <c r="CK138" s="67">
        <v>10</v>
      </c>
      <c r="CL138" s="67">
        <v>8</v>
      </c>
      <c r="CM138" s="67">
        <v>8</v>
      </c>
      <c r="CN138" s="67">
        <v>8</v>
      </c>
      <c r="CO138" s="67">
        <v>8</v>
      </c>
      <c r="CP138" s="67">
        <v>8</v>
      </c>
      <c r="CQ138" s="67">
        <v>8</v>
      </c>
      <c r="CR138" s="67">
        <v>8</v>
      </c>
      <c r="CS138" s="67">
        <v>8</v>
      </c>
      <c r="CT138" s="67">
        <v>8</v>
      </c>
      <c r="CU138" s="67">
        <v>8</v>
      </c>
      <c r="CV138" s="67">
        <v>8</v>
      </c>
      <c r="CW138" s="67">
        <v>8</v>
      </c>
      <c r="CX138" s="67">
        <v>8</v>
      </c>
      <c r="CY138" s="67">
        <v>8</v>
      </c>
      <c r="CZ138" s="67">
        <v>8</v>
      </c>
      <c r="DA138" s="67">
        <v>8</v>
      </c>
      <c r="DB138" s="67">
        <v>8</v>
      </c>
      <c r="DC138" s="67">
        <v>8</v>
      </c>
      <c r="DD138" s="67">
        <v>8</v>
      </c>
      <c r="DE138" s="67"/>
      <c r="DF138" s="67"/>
      <c r="DG138" s="67"/>
      <c r="DH138" s="67"/>
      <c r="DI138" s="67">
        <v>8</v>
      </c>
      <c r="DJ138" s="67">
        <v>8</v>
      </c>
      <c r="DK138" s="67">
        <v>8</v>
      </c>
      <c r="DL138" s="67">
        <v>8</v>
      </c>
      <c r="DM138" s="67">
        <v>8</v>
      </c>
      <c r="DN138" s="67">
        <v>8</v>
      </c>
      <c r="DO138" s="67">
        <v>8</v>
      </c>
      <c r="DP138" s="67">
        <v>8</v>
      </c>
      <c r="DQ138" s="67">
        <v>8</v>
      </c>
      <c r="DR138" s="67"/>
      <c r="DS138" s="67"/>
      <c r="DT138" s="67">
        <v>8</v>
      </c>
      <c r="DU138" s="67">
        <v>8</v>
      </c>
      <c r="DV138" s="67">
        <v>4</v>
      </c>
      <c r="DW138" s="67">
        <v>8</v>
      </c>
      <c r="DX138" s="67">
        <v>2</v>
      </c>
      <c r="DY138" s="67">
        <v>8</v>
      </c>
      <c r="DZ138" s="67"/>
      <c r="EA138" s="67"/>
      <c r="EB138" s="67">
        <v>8</v>
      </c>
      <c r="EC138" s="67">
        <v>2</v>
      </c>
      <c r="ED138" s="67"/>
      <c r="EE138" s="67"/>
      <c r="EF138" s="67"/>
      <c r="EG138" s="67"/>
      <c r="EH138" s="67">
        <v>3</v>
      </c>
    </row>
    <row r="139" spans="36:138" x14ac:dyDescent="0.2">
      <c r="AJ139" s="12"/>
      <c r="AK139" s="12">
        <v>7</v>
      </c>
      <c r="AL139" s="12">
        <v>7</v>
      </c>
      <c r="AM139" s="12">
        <v>7</v>
      </c>
      <c r="AN139" s="12">
        <v>7</v>
      </c>
      <c r="AO139" s="12">
        <v>7</v>
      </c>
      <c r="AP139" s="12">
        <v>7</v>
      </c>
      <c r="AQ139" s="12">
        <v>7</v>
      </c>
      <c r="AR139" s="12">
        <v>7</v>
      </c>
      <c r="AS139" s="12">
        <v>7</v>
      </c>
      <c r="AT139" s="12">
        <v>7</v>
      </c>
      <c r="AU139" s="12">
        <v>7</v>
      </c>
      <c r="AV139" s="12">
        <v>7</v>
      </c>
      <c r="AW139" s="12">
        <v>7</v>
      </c>
      <c r="AX139" s="12">
        <v>7</v>
      </c>
      <c r="AY139" s="12">
        <v>7</v>
      </c>
      <c r="AZ139" s="12">
        <v>7</v>
      </c>
      <c r="BA139" s="12">
        <v>7</v>
      </c>
      <c r="BB139" s="12">
        <v>7</v>
      </c>
      <c r="BC139" s="12">
        <v>8</v>
      </c>
      <c r="BD139" s="12">
        <v>8</v>
      </c>
      <c r="BE139" s="12">
        <v>8</v>
      </c>
      <c r="BF139" s="12">
        <v>8</v>
      </c>
      <c r="BG139" s="12">
        <v>8</v>
      </c>
      <c r="BH139" s="12">
        <v>8</v>
      </c>
      <c r="BI139" s="12">
        <v>8</v>
      </c>
      <c r="BJ139" s="12">
        <v>8</v>
      </c>
      <c r="BK139" s="12">
        <v>8</v>
      </c>
      <c r="BL139" s="12">
        <v>8</v>
      </c>
      <c r="BM139" s="12">
        <v>8</v>
      </c>
      <c r="BN139" s="12">
        <v>8</v>
      </c>
      <c r="BO139" s="12">
        <v>8</v>
      </c>
      <c r="BP139" s="12">
        <v>8</v>
      </c>
      <c r="BQ139" s="12">
        <v>8</v>
      </c>
      <c r="BR139" s="12">
        <v>8</v>
      </c>
      <c r="BS139" s="12">
        <v>8</v>
      </c>
      <c r="BT139" s="12">
        <v>8</v>
      </c>
      <c r="BU139" s="12">
        <v>3</v>
      </c>
      <c r="BV139" s="12">
        <v>4</v>
      </c>
      <c r="BW139" s="67">
        <v>6</v>
      </c>
      <c r="BX139" s="67">
        <v>6</v>
      </c>
      <c r="BY139" s="67"/>
      <c r="BZ139" s="67"/>
      <c r="CA139" s="67"/>
      <c r="CB139" s="67">
        <v>8</v>
      </c>
      <c r="CC139" s="67">
        <v>7</v>
      </c>
      <c r="CD139" s="67">
        <v>7</v>
      </c>
      <c r="CE139" s="67">
        <v>7</v>
      </c>
      <c r="CF139" s="67">
        <v>7</v>
      </c>
      <c r="CG139" s="67">
        <v>6</v>
      </c>
      <c r="CH139" s="67"/>
      <c r="CI139" s="67">
        <v>2</v>
      </c>
      <c r="CJ139" s="67">
        <v>7</v>
      </c>
      <c r="CK139" s="67">
        <v>7</v>
      </c>
      <c r="CL139" s="67">
        <v>7</v>
      </c>
      <c r="CM139" s="67">
        <v>7</v>
      </c>
      <c r="CN139" s="67">
        <v>7</v>
      </c>
      <c r="CO139" s="67">
        <v>7</v>
      </c>
      <c r="CP139" s="67">
        <v>7</v>
      </c>
      <c r="CQ139" s="67">
        <v>7</v>
      </c>
      <c r="CR139" s="67">
        <v>7</v>
      </c>
      <c r="CS139" s="67"/>
      <c r="CT139" s="67"/>
      <c r="CU139" s="67">
        <v>4</v>
      </c>
      <c r="CV139" s="67"/>
      <c r="CW139" s="67"/>
      <c r="CX139" s="67">
        <v>4</v>
      </c>
      <c r="CY139" s="67"/>
      <c r="CZ139" s="67">
        <v>7</v>
      </c>
      <c r="DA139" s="67">
        <v>5</v>
      </c>
      <c r="DB139" s="67">
        <v>7</v>
      </c>
      <c r="DC139" s="67">
        <v>7</v>
      </c>
      <c r="DD139" s="67">
        <v>7</v>
      </c>
      <c r="DE139" s="67">
        <v>1</v>
      </c>
      <c r="DF139" s="67">
        <v>1</v>
      </c>
      <c r="DG139" s="67">
        <v>1</v>
      </c>
      <c r="DH139" s="67">
        <v>1</v>
      </c>
      <c r="DI139" s="67">
        <v>5</v>
      </c>
      <c r="DJ139" s="67">
        <v>4</v>
      </c>
      <c r="DK139" s="67">
        <v>4</v>
      </c>
      <c r="DL139" s="67">
        <v>4</v>
      </c>
      <c r="DM139" s="67">
        <v>4</v>
      </c>
      <c r="DN139" s="67">
        <v>4</v>
      </c>
      <c r="DO139" s="67">
        <v>4</v>
      </c>
      <c r="DP139" s="67">
        <v>4</v>
      </c>
      <c r="DQ139" s="67">
        <v>4</v>
      </c>
      <c r="DR139" s="67"/>
      <c r="DS139" s="67"/>
      <c r="DT139" s="67"/>
      <c r="DU139" s="67">
        <v>4</v>
      </c>
      <c r="DV139" s="67"/>
      <c r="DW139" s="67">
        <v>7</v>
      </c>
      <c r="DX139" s="67">
        <v>8</v>
      </c>
      <c r="DY139" s="67">
        <v>5</v>
      </c>
      <c r="DZ139" s="67"/>
      <c r="EA139" s="67"/>
      <c r="EB139" s="67">
        <v>6</v>
      </c>
      <c r="EC139" s="67">
        <v>4</v>
      </c>
      <c r="ED139" s="67"/>
      <c r="EE139" s="67"/>
      <c r="EF139" s="67"/>
      <c r="EG139" s="67"/>
      <c r="EH139" s="67">
        <v>4</v>
      </c>
    </row>
    <row r="140" spans="36:138" x14ac:dyDescent="0.2">
      <c r="AJ140" s="12"/>
      <c r="AK140" s="12">
        <v>7</v>
      </c>
      <c r="AL140" s="12">
        <v>7</v>
      </c>
      <c r="AM140" s="12">
        <v>7</v>
      </c>
      <c r="AN140" s="12">
        <v>7</v>
      </c>
      <c r="AO140" s="12">
        <v>7</v>
      </c>
      <c r="AP140" s="12">
        <v>7</v>
      </c>
      <c r="AQ140" s="12">
        <v>7</v>
      </c>
      <c r="AR140" s="12">
        <v>7</v>
      </c>
      <c r="AS140" s="12">
        <v>7</v>
      </c>
      <c r="AT140" s="12">
        <v>7</v>
      </c>
      <c r="AU140" s="12">
        <v>7</v>
      </c>
      <c r="AV140" s="12">
        <v>7</v>
      </c>
      <c r="AW140" s="12">
        <v>7</v>
      </c>
      <c r="AX140" s="12">
        <v>7</v>
      </c>
      <c r="AY140" s="12">
        <v>7</v>
      </c>
      <c r="AZ140" s="12">
        <v>7</v>
      </c>
      <c r="BA140" s="12">
        <v>7</v>
      </c>
      <c r="BB140" s="12">
        <v>7</v>
      </c>
      <c r="BC140" s="12">
        <v>8</v>
      </c>
      <c r="BD140" s="12">
        <v>8</v>
      </c>
      <c r="BE140" s="12">
        <v>8</v>
      </c>
      <c r="BF140" s="12">
        <v>8</v>
      </c>
      <c r="BG140" s="12">
        <v>8</v>
      </c>
      <c r="BH140" s="12">
        <v>8</v>
      </c>
      <c r="BI140" s="12">
        <v>8</v>
      </c>
      <c r="BJ140" s="12">
        <v>8</v>
      </c>
      <c r="BK140" s="12">
        <v>8</v>
      </c>
      <c r="BL140" s="12">
        <v>8</v>
      </c>
      <c r="BM140" s="12">
        <v>8</v>
      </c>
      <c r="BN140" s="12">
        <v>8</v>
      </c>
      <c r="BO140" s="12">
        <v>8</v>
      </c>
      <c r="BP140" s="12">
        <v>8</v>
      </c>
      <c r="BQ140" s="12">
        <v>8</v>
      </c>
      <c r="BR140" s="12">
        <v>8</v>
      </c>
      <c r="BS140" s="12">
        <v>8</v>
      </c>
      <c r="BT140" s="12">
        <v>8</v>
      </c>
      <c r="BU140" s="12">
        <v>3</v>
      </c>
      <c r="BV140" s="12">
        <v>4</v>
      </c>
      <c r="BW140" s="67">
        <v>6</v>
      </c>
      <c r="BX140" s="67">
        <v>6</v>
      </c>
      <c r="BY140" s="67"/>
      <c r="BZ140" s="67"/>
      <c r="CA140" s="67"/>
      <c r="CB140" s="67">
        <v>8</v>
      </c>
      <c r="CC140" s="67">
        <v>7</v>
      </c>
      <c r="CD140" s="67">
        <v>7</v>
      </c>
      <c r="CE140" s="67">
        <v>7</v>
      </c>
      <c r="CF140" s="67">
        <v>7</v>
      </c>
      <c r="CG140" s="67">
        <v>6</v>
      </c>
      <c r="CH140" s="67"/>
      <c r="CI140" s="67">
        <v>2</v>
      </c>
      <c r="CJ140" s="67">
        <v>7</v>
      </c>
      <c r="CK140" s="67">
        <v>7</v>
      </c>
      <c r="CL140" s="67">
        <v>7</v>
      </c>
      <c r="CM140" s="67">
        <v>7</v>
      </c>
      <c r="CN140" s="67">
        <v>7</v>
      </c>
      <c r="CO140" s="67">
        <v>7</v>
      </c>
      <c r="CP140" s="67">
        <v>7</v>
      </c>
      <c r="CQ140" s="67"/>
      <c r="CR140" s="67">
        <v>7</v>
      </c>
      <c r="CS140" s="67"/>
      <c r="CT140" s="67"/>
      <c r="CU140" s="67">
        <v>4</v>
      </c>
      <c r="CV140" s="67"/>
      <c r="CW140" s="67"/>
      <c r="CX140" s="67">
        <v>3</v>
      </c>
      <c r="CY140" s="67"/>
      <c r="CZ140" s="67">
        <v>7</v>
      </c>
      <c r="DA140" s="67">
        <v>4</v>
      </c>
      <c r="DB140" s="67">
        <v>7</v>
      </c>
      <c r="DC140" s="67">
        <v>7</v>
      </c>
      <c r="DD140" s="67">
        <v>7</v>
      </c>
      <c r="DE140" s="67"/>
      <c r="DF140" s="67"/>
      <c r="DG140" s="67"/>
      <c r="DH140" s="67"/>
      <c r="DI140" s="67">
        <v>4</v>
      </c>
      <c r="DJ140" s="67">
        <v>3</v>
      </c>
      <c r="DK140" s="67">
        <v>3</v>
      </c>
      <c r="DL140" s="67">
        <v>3</v>
      </c>
      <c r="DM140" s="67">
        <v>3</v>
      </c>
      <c r="DN140" s="67">
        <v>3</v>
      </c>
      <c r="DO140" s="67">
        <v>3</v>
      </c>
      <c r="DP140" s="67">
        <v>3</v>
      </c>
      <c r="DQ140" s="67">
        <v>3</v>
      </c>
      <c r="DR140" s="67"/>
      <c r="DS140" s="67"/>
      <c r="DT140" s="67"/>
      <c r="DU140" s="67">
        <v>4</v>
      </c>
      <c r="DV140" s="67"/>
      <c r="DW140" s="67">
        <v>2</v>
      </c>
      <c r="DX140" s="67">
        <v>3</v>
      </c>
      <c r="DY140" s="67">
        <v>4</v>
      </c>
      <c r="DZ140" s="67"/>
      <c r="EA140" s="67"/>
      <c r="EB140" s="67">
        <v>6</v>
      </c>
      <c r="EC140" s="67">
        <v>2</v>
      </c>
      <c r="ED140" s="67"/>
      <c r="EE140" s="67"/>
      <c r="EF140" s="67"/>
      <c r="EG140" s="67"/>
      <c r="EH140" s="67">
        <v>5</v>
      </c>
    </row>
    <row r="141" spans="36:138" x14ac:dyDescent="0.2">
      <c r="AJ141" s="12"/>
      <c r="AK141" s="12"/>
      <c r="AL141" s="12">
        <v>7</v>
      </c>
      <c r="AM141" s="12">
        <v>7</v>
      </c>
      <c r="AN141" s="12">
        <v>7</v>
      </c>
      <c r="AO141" s="12"/>
      <c r="AP141" s="12"/>
      <c r="AQ141" s="12"/>
      <c r="AR141" s="12">
        <v>8</v>
      </c>
      <c r="AS141" s="12">
        <v>8</v>
      </c>
      <c r="AT141" s="12">
        <v>8</v>
      </c>
      <c r="AU141" s="12"/>
      <c r="AV141" s="12"/>
      <c r="AW141" s="12">
        <v>7</v>
      </c>
      <c r="AX141" s="12"/>
      <c r="AY141" s="12"/>
      <c r="AZ141" s="12"/>
      <c r="BA141" s="12"/>
      <c r="BB141" s="12"/>
      <c r="BC141" s="12"/>
      <c r="BD141" s="12"/>
      <c r="BE141" s="12">
        <v>7</v>
      </c>
      <c r="BF141" s="12">
        <v>7</v>
      </c>
      <c r="BG141" s="12">
        <v>7</v>
      </c>
      <c r="BH141" s="12">
        <v>7</v>
      </c>
      <c r="BI141" s="12">
        <v>7</v>
      </c>
      <c r="BJ141" s="12">
        <v>7</v>
      </c>
      <c r="BK141" s="12">
        <v>7</v>
      </c>
      <c r="BL141" s="12">
        <v>7</v>
      </c>
      <c r="BM141" s="12">
        <v>7</v>
      </c>
      <c r="BN141" s="12">
        <v>7</v>
      </c>
      <c r="BO141" s="12">
        <v>7</v>
      </c>
      <c r="BP141" s="12">
        <v>7</v>
      </c>
      <c r="BQ141" s="12">
        <v>7</v>
      </c>
      <c r="BR141" s="12">
        <v>7</v>
      </c>
      <c r="BS141" s="12">
        <v>7</v>
      </c>
      <c r="BT141" s="12"/>
      <c r="BU141" s="12"/>
      <c r="BV141" s="12">
        <v>6</v>
      </c>
      <c r="BW141" s="67"/>
      <c r="BX141" s="67"/>
      <c r="BY141" s="67"/>
      <c r="BZ141" s="67"/>
      <c r="CA141" s="67"/>
      <c r="CB141" s="67">
        <v>6</v>
      </c>
      <c r="CC141" s="67"/>
      <c r="CD141" s="67">
        <v>7</v>
      </c>
      <c r="CE141" s="67">
        <v>6</v>
      </c>
      <c r="CF141" s="67">
        <v>6</v>
      </c>
      <c r="CG141" s="67"/>
      <c r="CH141" s="67"/>
      <c r="CI141" s="67"/>
      <c r="CJ141" s="67">
        <v>6</v>
      </c>
      <c r="CK141" s="67"/>
      <c r="CL141" s="67">
        <v>7</v>
      </c>
      <c r="CM141" s="67">
        <v>6</v>
      </c>
      <c r="CN141" s="67">
        <v>6</v>
      </c>
      <c r="CO141" s="67">
        <v>5</v>
      </c>
      <c r="CP141" s="67">
        <v>2</v>
      </c>
      <c r="CQ141" s="67">
        <v>7</v>
      </c>
      <c r="CR141" s="67">
        <v>5</v>
      </c>
      <c r="CS141" s="67"/>
      <c r="CT141" s="67"/>
      <c r="CU141" s="67"/>
      <c r="CV141" s="67"/>
      <c r="CW141" s="67"/>
      <c r="CX141" s="67">
        <v>4</v>
      </c>
      <c r="CY141" s="67"/>
      <c r="CZ141" s="67">
        <v>6</v>
      </c>
      <c r="DA141" s="67">
        <v>5</v>
      </c>
      <c r="DB141" s="67"/>
      <c r="DC141" s="67"/>
      <c r="DD141" s="67"/>
      <c r="DE141" s="67"/>
      <c r="DF141" s="67"/>
      <c r="DG141" s="67"/>
      <c r="DH141" s="67"/>
      <c r="DI141" s="67">
        <v>4</v>
      </c>
      <c r="DJ141" s="67">
        <v>2</v>
      </c>
      <c r="DK141" s="67">
        <v>2</v>
      </c>
      <c r="DL141" s="67">
        <v>2</v>
      </c>
      <c r="DM141" s="67">
        <v>2</v>
      </c>
      <c r="DN141" s="67">
        <v>2</v>
      </c>
      <c r="DO141" s="67">
        <v>2</v>
      </c>
      <c r="DP141" s="67">
        <v>2</v>
      </c>
      <c r="DQ141" s="67">
        <v>2</v>
      </c>
      <c r="DR141" s="67"/>
      <c r="DS141" s="67"/>
      <c r="DT141" s="67"/>
      <c r="DU141" s="67">
        <v>4</v>
      </c>
      <c r="DV141" s="67"/>
      <c r="DW141" s="67">
        <v>4</v>
      </c>
      <c r="DX141" s="67">
        <v>5</v>
      </c>
      <c r="DY141" s="67">
        <v>4</v>
      </c>
      <c r="DZ141" s="67"/>
      <c r="EA141" s="67"/>
      <c r="EB141" s="67"/>
      <c r="EC141" s="67"/>
      <c r="ED141" s="67"/>
      <c r="EE141" s="67"/>
      <c r="EF141" s="67"/>
      <c r="EG141" s="67"/>
      <c r="EH141" s="67">
        <v>6</v>
      </c>
    </row>
    <row r="142" spans="36:138" x14ac:dyDescent="0.2">
      <c r="AJ142" s="12"/>
      <c r="AK142" s="12"/>
      <c r="AL142" s="12">
        <v>7</v>
      </c>
      <c r="AM142" s="12">
        <v>7</v>
      </c>
      <c r="AN142" s="12">
        <v>7</v>
      </c>
      <c r="AO142" s="12"/>
      <c r="AP142" s="12"/>
      <c r="AQ142" s="12"/>
      <c r="AR142" s="12">
        <v>8</v>
      </c>
      <c r="AS142" s="12">
        <v>8</v>
      </c>
      <c r="AT142" s="12">
        <v>8</v>
      </c>
      <c r="AU142" s="12"/>
      <c r="AV142" s="12"/>
      <c r="AW142" s="12">
        <v>7</v>
      </c>
      <c r="AX142" s="12"/>
      <c r="AY142" s="12"/>
      <c r="AZ142" s="12"/>
      <c r="BA142" s="12"/>
      <c r="BB142" s="12"/>
      <c r="BC142" s="12"/>
      <c r="BD142" s="12"/>
      <c r="BE142" s="12">
        <v>7</v>
      </c>
      <c r="BF142" s="12">
        <v>7</v>
      </c>
      <c r="BG142" s="12">
        <v>7</v>
      </c>
      <c r="BH142" s="12">
        <v>7</v>
      </c>
      <c r="BI142" s="12">
        <v>7</v>
      </c>
      <c r="BJ142" s="12">
        <v>7</v>
      </c>
      <c r="BK142" s="12">
        <v>7</v>
      </c>
      <c r="BL142" s="12">
        <v>7</v>
      </c>
      <c r="BM142" s="12">
        <v>7</v>
      </c>
      <c r="BN142" s="12">
        <v>7</v>
      </c>
      <c r="BO142" s="12">
        <v>7</v>
      </c>
      <c r="BP142" s="12">
        <v>7</v>
      </c>
      <c r="BQ142" s="12">
        <v>7</v>
      </c>
      <c r="BR142" s="12">
        <v>7</v>
      </c>
      <c r="BS142" s="12">
        <v>7</v>
      </c>
      <c r="BT142" s="12"/>
      <c r="BU142" s="12"/>
      <c r="BV142" s="12">
        <v>6</v>
      </c>
      <c r="BW142" s="67"/>
      <c r="BX142" s="67"/>
      <c r="BY142" s="67"/>
      <c r="BZ142" s="67"/>
      <c r="CA142" s="67"/>
      <c r="CB142" s="67">
        <v>6</v>
      </c>
      <c r="CC142" s="67"/>
      <c r="CD142" s="67">
        <v>7</v>
      </c>
      <c r="CE142" s="67">
        <v>6</v>
      </c>
      <c r="CF142" s="67">
        <v>6</v>
      </c>
      <c r="CG142" s="67"/>
      <c r="CH142" s="67"/>
      <c r="CI142" s="67"/>
      <c r="CJ142" s="67">
        <v>6</v>
      </c>
      <c r="CK142" s="67"/>
      <c r="CL142" s="67">
        <v>7</v>
      </c>
      <c r="CM142" s="67">
        <v>6</v>
      </c>
      <c r="CN142" s="67">
        <v>6</v>
      </c>
      <c r="CO142" s="67">
        <v>4</v>
      </c>
      <c r="CP142" s="67"/>
      <c r="CQ142" s="67">
        <v>7</v>
      </c>
      <c r="CR142" s="67">
        <v>4</v>
      </c>
      <c r="CS142" s="67"/>
      <c r="CT142" s="67"/>
      <c r="CU142" s="67"/>
      <c r="CV142" s="67"/>
      <c r="CW142" s="67"/>
      <c r="CX142" s="67">
        <v>3</v>
      </c>
      <c r="CY142" s="67"/>
      <c r="CZ142" s="67">
        <v>6</v>
      </c>
      <c r="DA142" s="67">
        <v>4</v>
      </c>
      <c r="DB142" s="67"/>
      <c r="DC142" s="67"/>
      <c r="DD142" s="67"/>
      <c r="DE142" s="67"/>
      <c r="DF142" s="67"/>
      <c r="DG142" s="67"/>
      <c r="DH142" s="67"/>
      <c r="DI142" s="67">
        <v>3</v>
      </c>
      <c r="DJ142" s="67"/>
      <c r="DK142" s="67"/>
      <c r="DL142" s="67"/>
      <c r="DM142" s="67"/>
      <c r="DN142" s="67"/>
      <c r="DO142" s="67"/>
      <c r="DP142" s="67"/>
      <c r="DQ142" s="67"/>
      <c r="DR142" s="67"/>
      <c r="DS142" s="67"/>
      <c r="DT142" s="67"/>
      <c r="DU142" s="67"/>
      <c r="DV142" s="67"/>
      <c r="DW142" s="67"/>
      <c r="DX142" s="67">
        <v>2</v>
      </c>
      <c r="DY142" s="67">
        <v>2</v>
      </c>
      <c r="DZ142" s="67"/>
      <c r="EA142" s="67"/>
      <c r="EB142" s="67"/>
      <c r="EC142" s="67"/>
      <c r="ED142" s="67"/>
      <c r="EE142" s="67"/>
      <c r="EF142" s="67"/>
      <c r="EG142" s="67"/>
      <c r="EH142" s="67">
        <v>7</v>
      </c>
    </row>
    <row r="143" spans="36:138" x14ac:dyDescent="0.2">
      <c r="AJ143" s="12"/>
      <c r="AK143" s="12"/>
      <c r="AL143" s="12"/>
      <c r="AM143" s="12"/>
      <c r="AN143" s="12"/>
      <c r="AO143" s="12"/>
      <c r="AP143" s="12"/>
      <c r="AQ143" s="12"/>
      <c r="AR143" s="12"/>
      <c r="AS143" s="12"/>
      <c r="AT143" s="12"/>
      <c r="AU143" s="12"/>
      <c r="AV143" s="12"/>
      <c r="AW143" s="12"/>
      <c r="AX143" s="12"/>
      <c r="AY143" s="12"/>
      <c r="AZ143" s="12"/>
      <c r="BA143" s="12"/>
      <c r="BB143" s="12"/>
      <c r="BC143" s="12"/>
      <c r="BD143" s="12"/>
      <c r="BE143" s="12"/>
      <c r="BF143" s="12"/>
      <c r="BG143" s="12"/>
      <c r="BH143" s="12"/>
      <c r="BI143" s="12"/>
      <c r="BJ143" s="12"/>
      <c r="BK143" s="12"/>
      <c r="BL143" s="12"/>
      <c r="BM143" s="12"/>
      <c r="BN143" s="12"/>
      <c r="BO143" s="12"/>
      <c r="BP143" s="12"/>
      <c r="BQ143" s="12"/>
      <c r="BR143" s="12"/>
      <c r="BS143" s="12"/>
      <c r="BT143" s="12"/>
      <c r="BU143" s="12"/>
      <c r="BV143" s="12"/>
      <c r="BW143" s="67"/>
      <c r="BX143" s="67"/>
      <c r="BY143" s="67"/>
      <c r="BZ143" s="67"/>
      <c r="CA143" s="67"/>
      <c r="CB143" s="67">
        <v>2</v>
      </c>
      <c r="CC143" s="67"/>
      <c r="CD143" s="67"/>
      <c r="CE143" s="67"/>
      <c r="CF143" s="67"/>
      <c r="CG143" s="67"/>
      <c r="CH143" s="67"/>
      <c r="CI143" s="67"/>
      <c r="CJ143" s="67"/>
      <c r="CK143" s="67"/>
      <c r="CL143" s="67"/>
      <c r="CM143" s="67">
        <v>4</v>
      </c>
      <c r="CN143" s="67">
        <v>5</v>
      </c>
      <c r="CO143" s="67"/>
      <c r="CP143" s="67"/>
      <c r="CQ143" s="67">
        <v>7</v>
      </c>
      <c r="CR143" s="67"/>
      <c r="CS143" s="67"/>
      <c r="CT143" s="67"/>
      <c r="CU143" s="67"/>
      <c r="CV143" s="67"/>
      <c r="CW143" s="67"/>
      <c r="CX143" s="67"/>
      <c r="CY143" s="67"/>
      <c r="CZ143" s="67"/>
      <c r="DA143" s="67"/>
      <c r="DB143" s="67"/>
      <c r="DC143" s="67"/>
      <c r="DD143" s="67"/>
      <c r="DE143" s="67"/>
      <c r="DF143" s="67"/>
      <c r="DG143" s="67"/>
      <c r="DH143" s="67"/>
      <c r="DI143" s="67"/>
      <c r="DJ143" s="67"/>
      <c r="DK143" s="67"/>
      <c r="DL143" s="67"/>
      <c r="DM143" s="67"/>
      <c r="DN143" s="67"/>
      <c r="DO143" s="67"/>
      <c r="DP143" s="67"/>
      <c r="DQ143" s="67"/>
      <c r="DR143" s="67"/>
      <c r="DS143" s="67"/>
      <c r="DT143" s="67"/>
      <c r="DU143" s="67"/>
      <c r="DV143" s="67"/>
      <c r="DW143" s="67"/>
      <c r="DX143" s="67"/>
      <c r="DY143" s="67"/>
      <c r="DZ143" s="67"/>
      <c r="EA143" s="67"/>
      <c r="EB143" s="67"/>
      <c r="EC143" s="67"/>
      <c r="ED143" s="67"/>
      <c r="EE143" s="67"/>
      <c r="EF143" s="67"/>
      <c r="EG143" s="67"/>
      <c r="EH143" s="67">
        <v>8</v>
      </c>
    </row>
    <row r="144" spans="36:138" x14ac:dyDescent="0.2">
      <c r="AJ144" s="12"/>
      <c r="AK144" s="12"/>
      <c r="AL144" s="12"/>
      <c r="AM144" s="12"/>
      <c r="AN144" s="12"/>
      <c r="AO144" s="12"/>
      <c r="AP144" s="12"/>
      <c r="AQ144" s="12"/>
      <c r="AR144" s="12"/>
      <c r="AS144" s="12"/>
      <c r="AT144" s="12"/>
      <c r="AU144" s="12"/>
      <c r="AV144" s="12"/>
      <c r="AW144" s="12"/>
      <c r="AX144" s="12"/>
      <c r="AY144" s="12"/>
      <c r="AZ144" s="12"/>
      <c r="BA144" s="12"/>
      <c r="BB144" s="12"/>
      <c r="BC144" s="12"/>
      <c r="BD144" s="12"/>
      <c r="BE144" s="12"/>
      <c r="BF144" s="12"/>
      <c r="BG144" s="12"/>
      <c r="BH144" s="12"/>
      <c r="BI144" s="12"/>
      <c r="BJ144" s="12"/>
      <c r="BK144" s="12"/>
      <c r="BL144" s="12"/>
      <c r="BM144" s="12"/>
      <c r="BN144" s="12"/>
      <c r="BO144" s="12"/>
      <c r="BP144" s="12"/>
      <c r="BQ144" s="12"/>
      <c r="BR144" s="12"/>
      <c r="BS144" s="12"/>
      <c r="BT144" s="12"/>
      <c r="BU144" s="12"/>
      <c r="BV144" s="12"/>
      <c r="BW144" s="67"/>
      <c r="BX144" s="67"/>
      <c r="BY144" s="67"/>
      <c r="BZ144" s="67"/>
      <c r="CA144" s="67"/>
      <c r="CB144" s="67">
        <v>2</v>
      </c>
      <c r="CC144" s="67"/>
      <c r="CD144" s="67"/>
      <c r="CE144" s="67"/>
      <c r="CF144" s="67"/>
      <c r="CG144" s="67"/>
      <c r="CH144" s="67"/>
      <c r="CI144" s="67"/>
      <c r="CJ144" s="67"/>
      <c r="CK144" s="67"/>
      <c r="CL144" s="67"/>
      <c r="CM144" s="67">
        <v>3</v>
      </c>
      <c r="CN144" s="67">
        <v>4</v>
      </c>
      <c r="CO144" s="67"/>
      <c r="CP144" s="67"/>
      <c r="CQ144" s="67">
        <v>7</v>
      </c>
      <c r="CR144" s="67"/>
      <c r="CS144" s="67"/>
      <c r="CT144" s="67"/>
      <c r="CU144" s="67"/>
      <c r="CV144" s="67"/>
      <c r="CW144" s="67"/>
      <c r="CX144" s="67"/>
      <c r="CY144" s="67"/>
      <c r="CZ144" s="67"/>
      <c r="DA144" s="67"/>
      <c r="DB144" s="67"/>
      <c r="DC144" s="67"/>
      <c r="DD144" s="67"/>
      <c r="DE144" s="67"/>
      <c r="DF144" s="67"/>
      <c r="DG144" s="67"/>
      <c r="DH144" s="67"/>
      <c r="DI144" s="67"/>
      <c r="DJ144" s="67"/>
      <c r="DK144" s="67"/>
      <c r="DL144" s="67"/>
      <c r="DM144" s="67"/>
      <c r="DN144" s="67"/>
      <c r="DO144" s="67"/>
      <c r="DP144" s="67"/>
      <c r="DQ144" s="67"/>
      <c r="DR144" s="67"/>
      <c r="DS144" s="67"/>
      <c r="DT144" s="67"/>
      <c r="DU144" s="67"/>
      <c r="DV144" s="67"/>
      <c r="DW144" s="67"/>
      <c r="DX144" s="67"/>
      <c r="DY144" s="67"/>
      <c r="DZ144" s="67"/>
      <c r="EA144" s="67"/>
      <c r="EB144" s="67"/>
      <c r="EC144" s="67"/>
      <c r="ED144" s="67"/>
      <c r="EE144" s="67"/>
      <c r="EF144" s="67"/>
      <c r="EG144" s="67"/>
      <c r="EH144" s="67">
        <v>9</v>
      </c>
    </row>
    <row r="145" spans="36:138" x14ac:dyDescent="0.2">
      <c r="AJ145" s="12"/>
      <c r="AK145" s="12"/>
      <c r="AL145" s="12"/>
      <c r="AM145" s="12"/>
      <c r="AN145" s="12"/>
      <c r="AO145" s="12"/>
      <c r="AP145" s="12"/>
      <c r="AQ145" s="12"/>
      <c r="AR145" s="12"/>
      <c r="AS145" s="12"/>
      <c r="AT145" s="12"/>
      <c r="AU145" s="12"/>
      <c r="AV145" s="12"/>
      <c r="AW145" s="12"/>
      <c r="AX145" s="12"/>
      <c r="AY145" s="12"/>
      <c r="AZ145" s="12"/>
      <c r="BA145" s="12"/>
      <c r="BB145" s="12"/>
      <c r="BC145" s="12"/>
      <c r="BD145" s="12"/>
      <c r="BE145" s="12"/>
      <c r="BF145" s="12"/>
      <c r="BG145" s="12"/>
      <c r="BH145" s="12"/>
      <c r="BI145" s="12"/>
      <c r="BJ145" s="12"/>
      <c r="BK145" s="12"/>
      <c r="BL145" s="12"/>
      <c r="BM145" s="12"/>
      <c r="BN145" s="12"/>
      <c r="BO145" s="12"/>
      <c r="BP145" s="12"/>
      <c r="BQ145" s="12"/>
      <c r="BR145" s="12"/>
      <c r="BS145" s="12"/>
      <c r="BT145" s="12"/>
      <c r="BU145" s="12"/>
      <c r="BV145" s="12"/>
      <c r="BW145" s="67"/>
      <c r="BX145" s="67"/>
      <c r="BY145" s="67"/>
      <c r="BZ145" s="67"/>
      <c r="CA145" s="67"/>
      <c r="CB145" s="67"/>
      <c r="CC145" s="67"/>
      <c r="CD145" s="67"/>
      <c r="CE145" s="67"/>
      <c r="CF145" s="67"/>
      <c r="CG145" s="67"/>
      <c r="CH145" s="67"/>
      <c r="CI145" s="67"/>
      <c r="CJ145" s="67"/>
      <c r="CK145" s="67"/>
      <c r="CL145" s="67"/>
      <c r="CM145" s="67"/>
      <c r="CN145" s="67"/>
      <c r="CO145" s="67"/>
      <c r="CP145" s="67"/>
      <c r="CQ145" s="67"/>
      <c r="CR145" s="67"/>
      <c r="CS145" s="67"/>
      <c r="CT145" s="67"/>
      <c r="CU145" s="67"/>
      <c r="CV145" s="67"/>
      <c r="CW145" s="67"/>
      <c r="CX145" s="67"/>
      <c r="CY145" s="67"/>
      <c r="CZ145" s="67"/>
      <c r="DA145" s="67"/>
      <c r="DB145" s="67"/>
      <c r="DC145" s="67"/>
      <c r="DD145" s="67"/>
      <c r="DE145" s="67"/>
      <c r="DF145" s="67"/>
      <c r="DG145" s="67"/>
      <c r="DH145" s="67"/>
      <c r="DI145" s="67"/>
      <c r="DJ145" s="67"/>
      <c r="DK145" s="67"/>
      <c r="DL145" s="67"/>
      <c r="DM145" s="67"/>
      <c r="DN145" s="67"/>
      <c r="DO145" s="67"/>
      <c r="DP145" s="67"/>
      <c r="DQ145" s="67"/>
      <c r="DR145" s="67"/>
      <c r="DS145" s="67"/>
      <c r="DT145" s="67"/>
      <c r="DU145" s="67"/>
      <c r="DV145" s="67"/>
      <c r="DW145" s="67"/>
      <c r="DX145" s="67"/>
      <c r="DY145" s="67"/>
      <c r="DZ145" s="67"/>
      <c r="EA145" s="67"/>
      <c r="EB145" s="67"/>
      <c r="EC145" s="67"/>
      <c r="ED145" s="67"/>
      <c r="EE145" s="67"/>
      <c r="EF145" s="67"/>
      <c r="EG145" s="67"/>
      <c r="EH145" s="67">
        <v>10</v>
      </c>
    </row>
    <row r="146" spans="36:138" x14ac:dyDescent="0.2">
      <c r="AJ146" s="12"/>
      <c r="AK146" s="12"/>
      <c r="AL146" s="12"/>
      <c r="AM146" s="12"/>
      <c r="AN146" s="12"/>
      <c r="AO146" s="12"/>
      <c r="AP146" s="12"/>
      <c r="AQ146" s="12"/>
      <c r="AR146" s="12"/>
      <c r="AS146" s="12"/>
      <c r="AT146" s="12"/>
      <c r="AU146" s="12"/>
      <c r="AV146" s="12"/>
      <c r="AW146" s="12"/>
      <c r="AX146" s="12"/>
      <c r="AY146" s="12"/>
      <c r="AZ146" s="12"/>
      <c r="BA146" s="12"/>
      <c r="BB146" s="12"/>
      <c r="BC146" s="12"/>
      <c r="BD146" s="12"/>
      <c r="BE146" s="12"/>
      <c r="BF146" s="12"/>
      <c r="BG146" s="12"/>
      <c r="BH146" s="12"/>
      <c r="BI146" s="12"/>
      <c r="BJ146" s="12"/>
      <c r="BK146" s="12"/>
      <c r="BL146" s="12"/>
      <c r="BM146" s="12"/>
      <c r="BN146" s="12"/>
      <c r="BO146" s="12"/>
      <c r="BP146" s="12"/>
      <c r="BQ146" s="12"/>
      <c r="BR146" s="12"/>
      <c r="BS146" s="12"/>
      <c r="BT146" s="12"/>
      <c r="BU146" s="12"/>
      <c r="BV146" s="12"/>
      <c r="BW146" s="67"/>
      <c r="BX146" s="67"/>
      <c r="BY146" s="67"/>
      <c r="BZ146" s="67"/>
      <c r="CA146" s="67"/>
      <c r="CB146" s="67"/>
      <c r="CC146" s="67"/>
      <c r="CD146" s="67"/>
      <c r="CE146" s="67"/>
      <c r="CF146" s="67"/>
      <c r="CG146" s="67"/>
      <c r="CH146" s="67"/>
      <c r="CI146" s="67"/>
      <c r="CJ146" s="67"/>
      <c r="CK146" s="67"/>
      <c r="CL146" s="67"/>
      <c r="CM146" s="67"/>
      <c r="CN146" s="67"/>
      <c r="CO146" s="67"/>
      <c r="CP146" s="67"/>
      <c r="CQ146" s="67"/>
      <c r="CR146" s="67"/>
      <c r="CS146" s="67"/>
      <c r="CT146" s="67"/>
      <c r="CU146" s="67"/>
      <c r="CV146" s="67"/>
      <c r="CW146" s="67"/>
      <c r="CX146" s="67"/>
      <c r="CY146" s="67"/>
      <c r="CZ146" s="67"/>
      <c r="DA146" s="67"/>
      <c r="DB146" s="67"/>
      <c r="DC146" s="67"/>
      <c r="DD146" s="67"/>
      <c r="DE146" s="67"/>
      <c r="DF146" s="67"/>
      <c r="DG146" s="67"/>
      <c r="DH146" s="67"/>
      <c r="DI146" s="67"/>
      <c r="DJ146" s="67"/>
      <c r="DK146" s="67"/>
      <c r="DL146" s="67"/>
      <c r="DM146" s="67"/>
      <c r="DN146" s="67"/>
      <c r="DO146" s="67"/>
      <c r="DP146" s="67"/>
      <c r="DQ146" s="67"/>
      <c r="DR146" s="67"/>
      <c r="DS146" s="67"/>
      <c r="DT146" s="67"/>
      <c r="DU146" s="67"/>
      <c r="DV146" s="67"/>
      <c r="DW146" s="67"/>
      <c r="DX146" s="67"/>
      <c r="DY146" s="67"/>
      <c r="DZ146" s="67"/>
      <c r="EA146" s="67"/>
      <c r="EB146" s="67"/>
      <c r="EC146" s="67"/>
      <c r="ED146" s="67"/>
      <c r="EE146" s="67"/>
      <c r="EF146" s="67"/>
      <c r="EG146" s="67"/>
      <c r="EH146" s="67">
        <v>11</v>
      </c>
    </row>
    <row r="147" spans="36:138" x14ac:dyDescent="0.2">
      <c r="AJ147" s="12"/>
      <c r="AK147" s="12"/>
      <c r="AL147" s="12"/>
      <c r="AM147" s="12"/>
      <c r="AN147" s="12"/>
      <c r="AO147" s="12"/>
      <c r="AP147" s="12"/>
      <c r="AQ147" s="12"/>
      <c r="AR147" s="12"/>
      <c r="AS147" s="12"/>
      <c r="AT147" s="12"/>
      <c r="AU147" s="12"/>
      <c r="AV147" s="12"/>
      <c r="AW147" s="12"/>
      <c r="AX147" s="12"/>
      <c r="AY147" s="12"/>
      <c r="AZ147" s="12"/>
      <c r="BA147" s="12"/>
      <c r="BB147" s="12"/>
      <c r="BC147" s="12"/>
      <c r="BD147" s="12"/>
      <c r="BE147" s="12"/>
      <c r="BF147" s="12"/>
      <c r="BG147" s="12"/>
      <c r="BH147" s="12"/>
      <c r="BI147" s="12"/>
      <c r="BJ147" s="12"/>
      <c r="BK147" s="12"/>
      <c r="BL147" s="12"/>
      <c r="BM147" s="12"/>
      <c r="BN147" s="12"/>
      <c r="BO147" s="12"/>
      <c r="BP147" s="12"/>
      <c r="BQ147" s="12"/>
      <c r="BR147" s="12"/>
      <c r="BS147" s="12"/>
      <c r="BT147" s="12"/>
      <c r="BU147" s="12"/>
      <c r="BV147" s="12"/>
      <c r="BW147" s="67"/>
      <c r="BX147" s="67"/>
      <c r="BY147" s="67"/>
      <c r="BZ147" s="67"/>
      <c r="CA147" s="67"/>
      <c r="CB147" s="67"/>
      <c r="CC147" s="67"/>
      <c r="CD147" s="67"/>
      <c r="CE147" s="67"/>
      <c r="CF147" s="67"/>
      <c r="CG147" s="67"/>
      <c r="CH147" s="67"/>
      <c r="CI147" s="67"/>
      <c r="CJ147" s="67"/>
      <c r="CK147" s="67"/>
      <c r="CL147" s="67"/>
      <c r="CM147" s="67"/>
      <c r="CN147" s="67"/>
      <c r="CO147" s="67"/>
      <c r="CP147" s="67"/>
      <c r="CQ147" s="67"/>
      <c r="CR147" s="67"/>
      <c r="CS147" s="67"/>
      <c r="CT147" s="67"/>
      <c r="CU147" s="67"/>
      <c r="CV147" s="67"/>
      <c r="CW147" s="67"/>
      <c r="CX147" s="67"/>
      <c r="CY147" s="67"/>
      <c r="CZ147" s="67"/>
      <c r="DA147" s="67"/>
      <c r="DB147" s="67"/>
      <c r="DC147" s="67"/>
      <c r="DD147" s="67"/>
      <c r="DE147" s="67"/>
      <c r="DF147" s="67"/>
      <c r="DG147" s="67"/>
      <c r="DH147" s="67"/>
      <c r="DI147" s="67"/>
      <c r="DJ147" s="67"/>
      <c r="DK147" s="67"/>
      <c r="DL147" s="67"/>
      <c r="DM147" s="67"/>
      <c r="DN147" s="67"/>
      <c r="DO147" s="67"/>
      <c r="DP147" s="67"/>
      <c r="DQ147" s="67"/>
      <c r="DR147" s="67"/>
      <c r="DS147" s="67"/>
      <c r="DT147" s="67"/>
      <c r="DU147" s="67"/>
      <c r="DV147" s="67"/>
      <c r="DW147" s="67"/>
      <c r="DX147" s="67"/>
      <c r="DY147" s="67"/>
      <c r="DZ147" s="67"/>
      <c r="EA147" s="67"/>
      <c r="EB147" s="67"/>
      <c r="EC147" s="67"/>
      <c r="ED147" s="67"/>
      <c r="EE147" s="67"/>
      <c r="EF147" s="67"/>
      <c r="EG147" s="67"/>
      <c r="EH147" s="67"/>
    </row>
    <row r="148" spans="36:138" x14ac:dyDescent="0.2">
      <c r="AJ148" s="12"/>
      <c r="AK148" s="12"/>
      <c r="AL148" s="12"/>
      <c r="AM148" s="12"/>
      <c r="AN148" s="12"/>
      <c r="AO148" s="12"/>
      <c r="AP148" s="12"/>
      <c r="AQ148" s="12"/>
      <c r="AR148" s="12"/>
      <c r="AS148" s="12"/>
      <c r="AT148" s="12"/>
      <c r="AU148" s="12"/>
      <c r="AV148" s="12"/>
      <c r="AW148" s="12"/>
      <c r="AX148" s="12"/>
      <c r="AY148" s="12"/>
      <c r="AZ148" s="12"/>
      <c r="BA148" s="12"/>
      <c r="BB148" s="12"/>
      <c r="BC148" s="12"/>
      <c r="BD148" s="12"/>
      <c r="BE148" s="12"/>
      <c r="BF148" s="12"/>
      <c r="BG148" s="12"/>
      <c r="BH148" s="12"/>
      <c r="BI148" s="12"/>
      <c r="BJ148" s="12"/>
      <c r="BK148" s="12"/>
      <c r="BL148" s="12"/>
      <c r="BM148" s="12"/>
      <c r="BN148" s="12"/>
      <c r="BO148" s="12"/>
      <c r="BP148" s="12"/>
      <c r="BQ148" s="12"/>
      <c r="BR148" s="12"/>
      <c r="BS148" s="12"/>
      <c r="BT148" s="12"/>
      <c r="BU148" s="12"/>
      <c r="BV148" s="12"/>
      <c r="BW148" s="67"/>
      <c r="BX148" s="67"/>
      <c r="BY148" s="67"/>
      <c r="BZ148" s="67"/>
      <c r="CA148" s="67"/>
      <c r="CB148" s="67"/>
      <c r="CC148" s="67"/>
      <c r="CD148" s="67"/>
      <c r="CE148" s="67"/>
      <c r="CF148" s="67"/>
      <c r="CG148" s="67"/>
      <c r="CH148" s="67"/>
      <c r="CI148" s="67"/>
      <c r="CJ148" s="67"/>
      <c r="CK148" s="67"/>
      <c r="CL148" s="67"/>
      <c r="CM148" s="67"/>
      <c r="CN148" s="67"/>
      <c r="CO148" s="67"/>
      <c r="CP148" s="67"/>
      <c r="CQ148" s="67"/>
      <c r="CR148" s="67"/>
      <c r="CS148" s="67"/>
      <c r="CT148" s="67"/>
      <c r="CU148" s="67"/>
      <c r="CV148" s="67"/>
      <c r="CW148" s="67"/>
      <c r="CX148" s="67"/>
      <c r="CY148" s="67"/>
      <c r="CZ148" s="67"/>
      <c r="DA148" s="67"/>
      <c r="DB148" s="67"/>
      <c r="DC148" s="67"/>
      <c r="DD148" s="67"/>
      <c r="DE148" s="67"/>
      <c r="DF148" s="67"/>
      <c r="DG148" s="67"/>
      <c r="DH148" s="67"/>
      <c r="DI148" s="67"/>
      <c r="DJ148" s="67"/>
      <c r="DK148" s="67"/>
      <c r="DL148" s="67"/>
      <c r="DM148" s="67"/>
      <c r="DN148" s="67"/>
      <c r="DO148" s="67"/>
      <c r="DP148" s="67"/>
      <c r="DQ148" s="67"/>
      <c r="DR148" s="67"/>
      <c r="DS148" s="67"/>
      <c r="DT148" s="67"/>
      <c r="DU148" s="67"/>
      <c r="DV148" s="67"/>
      <c r="DW148" s="67"/>
      <c r="DX148" s="67"/>
      <c r="DY148" s="67"/>
      <c r="DZ148" s="67"/>
      <c r="EA148" s="67"/>
      <c r="EB148" s="67"/>
      <c r="EC148" s="67"/>
      <c r="ED148" s="67"/>
      <c r="EE148" s="67"/>
      <c r="EF148" s="67"/>
    </row>
    <row r="149" spans="36:138" x14ac:dyDescent="0.2">
      <c r="AJ149" s="78" t="s">
        <v>1774</v>
      </c>
      <c r="AK149" s="78" t="s">
        <v>4062</v>
      </c>
      <c r="AL149" s="78" t="s">
        <v>897</v>
      </c>
      <c r="AM149" s="78" t="s">
        <v>4747</v>
      </c>
      <c r="AN149" s="78" t="s">
        <v>876</v>
      </c>
      <c r="AO149" s="78" t="s">
        <v>4748</v>
      </c>
      <c r="AP149" s="78" t="s">
        <v>4749</v>
      </c>
      <c r="AQ149" s="78" t="s">
        <v>3942</v>
      </c>
      <c r="AR149" s="78" t="s">
        <v>4750</v>
      </c>
      <c r="AS149" s="78" t="s">
        <v>4751</v>
      </c>
      <c r="AT149" s="78" t="s">
        <v>4752</v>
      </c>
      <c r="AU149" s="78" t="s">
        <v>4753</v>
      </c>
      <c r="AV149" s="78" t="s">
        <v>4754</v>
      </c>
      <c r="AW149" s="78" t="s">
        <v>4053</v>
      </c>
      <c r="AX149" s="78" t="s">
        <v>4755</v>
      </c>
      <c r="AY149" s="78" t="s">
        <v>4756</v>
      </c>
      <c r="AZ149" s="78" t="s">
        <v>886</v>
      </c>
      <c r="BA149" s="78" t="s">
        <v>4757</v>
      </c>
      <c r="BB149" s="78" t="s">
        <v>4758</v>
      </c>
      <c r="BC149" s="78" t="s">
        <v>4055</v>
      </c>
      <c r="BD149" s="78" t="s">
        <v>4759</v>
      </c>
      <c r="BE149" s="78" t="s">
        <v>4760</v>
      </c>
      <c r="BF149" s="78" t="s">
        <v>4761</v>
      </c>
      <c r="BG149" s="78" t="s">
        <v>4762</v>
      </c>
      <c r="BH149" s="78" t="s">
        <v>4763</v>
      </c>
      <c r="BI149" s="78" t="s">
        <v>4764</v>
      </c>
      <c r="BJ149" s="78" t="s">
        <v>4765</v>
      </c>
      <c r="BK149" s="78" t="s">
        <v>4766</v>
      </c>
      <c r="BL149" s="78" t="s">
        <v>4767</v>
      </c>
      <c r="BM149" s="78" t="s">
        <v>4768</v>
      </c>
      <c r="BN149" s="78" t="s">
        <v>4769</v>
      </c>
      <c r="BO149" s="78" t="s">
        <v>4770</v>
      </c>
      <c r="BP149" s="78" t="s">
        <v>4771</v>
      </c>
      <c r="BQ149" s="78" t="s">
        <v>4772</v>
      </c>
      <c r="BR149" s="78" t="s">
        <v>4773</v>
      </c>
      <c r="BS149" s="78" t="s">
        <v>4774</v>
      </c>
      <c r="BT149" s="78" t="s">
        <v>4775</v>
      </c>
      <c r="BU149" s="78" t="s">
        <v>994</v>
      </c>
      <c r="BV149" s="78" t="s">
        <v>4776</v>
      </c>
      <c r="BW149" s="88" t="s">
        <v>1023</v>
      </c>
      <c r="BX149" s="87" t="s">
        <v>4777</v>
      </c>
      <c r="BY149" s="88" t="s">
        <v>873</v>
      </c>
      <c r="BZ149" s="88" t="s">
        <v>4778</v>
      </c>
      <c r="CA149" s="87" t="s">
        <v>874</v>
      </c>
      <c r="CB149" s="88" t="s">
        <v>4779</v>
      </c>
      <c r="CC149" s="88" t="s">
        <v>4780</v>
      </c>
      <c r="CD149" s="88" t="s">
        <v>4781</v>
      </c>
      <c r="CE149" s="88" t="s">
        <v>4782</v>
      </c>
      <c r="CF149" s="88" t="s">
        <v>875</v>
      </c>
      <c r="CG149" s="87" t="s">
        <v>4783</v>
      </c>
      <c r="CH149" s="87" t="s">
        <v>4784</v>
      </c>
      <c r="CI149" s="87" t="s">
        <v>4785</v>
      </c>
      <c r="CJ149" s="88" t="s">
        <v>4786</v>
      </c>
      <c r="CK149" s="86" t="s">
        <v>5474</v>
      </c>
      <c r="CL149" s="88" t="s">
        <v>877</v>
      </c>
      <c r="CM149" s="88" t="s">
        <v>878</v>
      </c>
      <c r="CN149" s="88" t="s">
        <v>879</v>
      </c>
      <c r="CO149" s="88" t="s">
        <v>880</v>
      </c>
      <c r="CP149" s="88" t="s">
        <v>881</v>
      </c>
      <c r="CQ149" s="88" t="s">
        <v>882</v>
      </c>
      <c r="CR149" s="88" t="s">
        <v>4787</v>
      </c>
      <c r="CS149" s="88" t="s">
        <v>4788</v>
      </c>
      <c r="CT149" s="88" t="s">
        <v>4789</v>
      </c>
      <c r="CU149" s="88" t="s">
        <v>4790</v>
      </c>
      <c r="CV149" s="88" t="s">
        <v>4791</v>
      </c>
      <c r="CW149" s="88" t="s">
        <v>4792</v>
      </c>
      <c r="CX149" s="88" t="s">
        <v>4793</v>
      </c>
      <c r="CY149" s="87" t="s">
        <v>4794</v>
      </c>
      <c r="CZ149" s="88" t="s">
        <v>1097</v>
      </c>
      <c r="DA149" s="88" t="s">
        <v>1098</v>
      </c>
      <c r="DB149" s="88" t="s">
        <v>1029</v>
      </c>
      <c r="DC149" s="88" t="s">
        <v>4795</v>
      </c>
      <c r="DD149" s="88" t="s">
        <v>4796</v>
      </c>
      <c r="DE149" s="88" t="s">
        <v>887</v>
      </c>
      <c r="DF149" s="88" t="s">
        <v>4797</v>
      </c>
      <c r="DG149" s="88" t="s">
        <v>4798</v>
      </c>
      <c r="DH149" s="88" t="s">
        <v>4799</v>
      </c>
      <c r="DI149" s="88" t="s">
        <v>888</v>
      </c>
      <c r="DJ149" s="88" t="s">
        <v>4800</v>
      </c>
      <c r="DK149" s="88" t="s">
        <v>4801</v>
      </c>
      <c r="DL149" s="88" t="s">
        <v>4802</v>
      </c>
      <c r="DM149" s="87" t="s">
        <v>4803</v>
      </c>
      <c r="DN149" s="88" t="s">
        <v>4804</v>
      </c>
      <c r="DO149" s="88" t="s">
        <v>4805</v>
      </c>
      <c r="DP149" s="88" t="s">
        <v>4806</v>
      </c>
      <c r="DQ149" s="88" t="s">
        <v>4807</v>
      </c>
      <c r="DR149" s="88" t="s">
        <v>889</v>
      </c>
      <c r="DS149" s="88" t="s">
        <v>890</v>
      </c>
      <c r="DT149" s="88" t="s">
        <v>891</v>
      </c>
      <c r="DU149" s="88" t="s">
        <v>892</v>
      </c>
      <c r="DV149" s="88" t="s">
        <v>893</v>
      </c>
      <c r="DW149" s="88" t="s">
        <v>894</v>
      </c>
      <c r="DX149" s="88" t="s">
        <v>895</v>
      </c>
      <c r="DY149" s="88" t="s">
        <v>896</v>
      </c>
      <c r="DZ149" s="87" t="s">
        <v>898</v>
      </c>
      <c r="EA149" s="87" t="s">
        <v>4808</v>
      </c>
      <c r="EB149" s="87" t="s">
        <v>4809</v>
      </c>
      <c r="EC149" s="87" t="s">
        <v>4810</v>
      </c>
      <c r="ED149" s="87" t="s">
        <v>4811</v>
      </c>
      <c r="EE149" s="87" t="s">
        <v>4812</v>
      </c>
      <c r="EF149" s="87" t="s">
        <v>4706</v>
      </c>
      <c r="EG149" s="87" t="s">
        <v>4707</v>
      </c>
      <c r="EH149" s="87" t="s">
        <v>4914</v>
      </c>
    </row>
    <row r="150" spans="36:138" x14ac:dyDescent="0.2">
      <c r="AJ150" s="12"/>
      <c r="AK150" s="78" t="s">
        <v>4062</v>
      </c>
      <c r="AL150" s="78" t="s">
        <v>958</v>
      </c>
      <c r="AM150" s="78" t="s">
        <v>957</v>
      </c>
      <c r="AN150" s="78" t="s">
        <v>4226</v>
      </c>
      <c r="AO150" s="78" t="s">
        <v>4225</v>
      </c>
      <c r="AP150" s="78" t="s">
        <v>4230</v>
      </c>
      <c r="AQ150" s="78" t="s">
        <v>4050</v>
      </c>
      <c r="AR150" s="78" t="s">
        <v>880</v>
      </c>
      <c r="AS150" s="78" t="s">
        <v>4041</v>
      </c>
      <c r="AT150" s="78" t="s">
        <v>4040</v>
      </c>
      <c r="AU150" s="78" t="s">
        <v>4049</v>
      </c>
      <c r="AV150" s="78" t="s">
        <v>4042</v>
      </c>
      <c r="AW150" s="78" t="s">
        <v>4052</v>
      </c>
      <c r="AX150" s="78" t="s">
        <v>4215</v>
      </c>
      <c r="AY150" s="78" t="s">
        <v>4054</v>
      </c>
      <c r="AZ150" s="78" t="s">
        <v>4227</v>
      </c>
      <c r="BA150" s="78" t="s">
        <v>4259</v>
      </c>
      <c r="BB150" s="78" t="s">
        <v>4237</v>
      </c>
      <c r="BC150" s="78" t="s">
        <v>4136</v>
      </c>
      <c r="BD150" s="78" t="s">
        <v>4064</v>
      </c>
      <c r="BE150" s="78" t="s">
        <v>4056</v>
      </c>
      <c r="BF150" s="78" t="s">
        <v>4057</v>
      </c>
      <c r="BG150" s="78" t="s">
        <v>4063</v>
      </c>
      <c r="BH150" s="78" t="s">
        <v>4065</v>
      </c>
      <c r="BI150" s="78" t="s">
        <v>4066</v>
      </c>
      <c r="BJ150" s="78" t="s">
        <v>4067</v>
      </c>
      <c r="BK150" s="78" t="s">
        <v>4058</v>
      </c>
      <c r="BL150" s="78" t="s">
        <v>4254</v>
      </c>
      <c r="BM150" s="78" t="s">
        <v>4059</v>
      </c>
      <c r="BN150" s="78" t="s">
        <v>4068</v>
      </c>
      <c r="BO150" s="78" t="s">
        <v>4060</v>
      </c>
      <c r="BP150" s="78" t="s">
        <v>4069</v>
      </c>
      <c r="BQ150" s="78" t="s">
        <v>4061</v>
      </c>
      <c r="BR150" s="78" t="s">
        <v>4070</v>
      </c>
      <c r="BS150" s="78" t="s">
        <v>4243</v>
      </c>
      <c r="BT150" s="78" t="s">
        <v>4071</v>
      </c>
      <c r="BU150" s="78" t="s">
        <v>894</v>
      </c>
      <c r="BV150" s="78" t="s">
        <v>1038</v>
      </c>
      <c r="BW150" s="87" t="s">
        <v>919</v>
      </c>
      <c r="BX150" s="87" t="s">
        <v>920</v>
      </c>
      <c r="BY150" s="88" t="s">
        <v>921</v>
      </c>
      <c r="BZ150" s="87" t="s">
        <v>922</v>
      </c>
      <c r="CA150" s="87" t="s">
        <v>923</v>
      </c>
      <c r="CB150" s="88" t="s">
        <v>924</v>
      </c>
      <c r="CC150" s="88" t="s">
        <v>925</v>
      </c>
      <c r="CD150" s="88" t="s">
        <v>926</v>
      </c>
      <c r="CE150" s="88" t="s">
        <v>927</v>
      </c>
      <c r="CF150" s="88" t="s">
        <v>875</v>
      </c>
      <c r="CG150" s="87" t="s">
        <v>918</v>
      </c>
      <c r="CH150" s="87" t="s">
        <v>928</v>
      </c>
      <c r="CI150" s="87" t="s">
        <v>929</v>
      </c>
      <c r="CJ150" s="88" t="s">
        <v>876</v>
      </c>
      <c r="CK150" s="86" t="s">
        <v>5474</v>
      </c>
      <c r="CL150" s="88" t="s">
        <v>877</v>
      </c>
      <c r="CM150" s="88" t="s">
        <v>878</v>
      </c>
      <c r="CN150" s="88" t="s">
        <v>879</v>
      </c>
      <c r="CO150" s="88" t="s">
        <v>880</v>
      </c>
      <c r="CP150" s="88" t="s">
        <v>930</v>
      </c>
      <c r="CQ150" s="88" t="s">
        <v>177</v>
      </c>
      <c r="CR150" s="88" t="s">
        <v>931</v>
      </c>
      <c r="CS150" s="88" t="s">
        <v>932</v>
      </c>
      <c r="CT150" s="88" t="s">
        <v>933</v>
      </c>
      <c r="CU150" s="88" t="s">
        <v>934</v>
      </c>
      <c r="CV150" s="88" t="s">
        <v>935</v>
      </c>
      <c r="CW150" s="88" t="s">
        <v>936</v>
      </c>
      <c r="CX150" s="88" t="s">
        <v>937</v>
      </c>
      <c r="CY150" s="87" t="s">
        <v>938</v>
      </c>
      <c r="CZ150" s="88" t="s">
        <v>939</v>
      </c>
      <c r="DA150" s="88" t="s">
        <v>940</v>
      </c>
      <c r="DB150" s="88" t="s">
        <v>941</v>
      </c>
      <c r="DC150" s="88" t="s">
        <v>942</v>
      </c>
      <c r="DD150" s="88" t="s">
        <v>943</v>
      </c>
      <c r="DE150" s="88" t="s">
        <v>887</v>
      </c>
      <c r="DF150" s="88" t="s">
        <v>944</v>
      </c>
      <c r="DG150" s="88" t="s">
        <v>945</v>
      </c>
      <c r="DH150" s="88" t="s">
        <v>946</v>
      </c>
      <c r="DI150" s="88" t="s">
        <v>947</v>
      </c>
      <c r="DJ150" s="88" t="s">
        <v>948</v>
      </c>
      <c r="DK150" s="88" t="s">
        <v>949</v>
      </c>
      <c r="DL150" s="88" t="s">
        <v>950</v>
      </c>
      <c r="DM150" s="87" t="s">
        <v>951</v>
      </c>
      <c r="DN150" s="88" t="s">
        <v>952</v>
      </c>
      <c r="DO150" s="88" t="s">
        <v>953</v>
      </c>
      <c r="DP150" s="88" t="s">
        <v>954</v>
      </c>
      <c r="DQ150" s="88" t="s">
        <v>955</v>
      </c>
      <c r="DR150" s="88" t="s">
        <v>889</v>
      </c>
      <c r="DS150" s="88" t="s">
        <v>890</v>
      </c>
      <c r="DT150" s="88" t="s">
        <v>891</v>
      </c>
      <c r="DU150" s="88" t="s">
        <v>892</v>
      </c>
      <c r="DV150" s="88" t="s">
        <v>956</v>
      </c>
      <c r="DW150" s="88" t="s">
        <v>4746</v>
      </c>
      <c r="DX150" s="88" t="s">
        <v>895</v>
      </c>
      <c r="DY150" s="88" t="s">
        <v>896</v>
      </c>
      <c r="DZ150" s="87" t="s">
        <v>959</v>
      </c>
      <c r="EA150" s="87" t="s">
        <v>960</v>
      </c>
      <c r="EB150" s="78" t="s">
        <v>1039</v>
      </c>
      <c r="EC150" s="87" t="s">
        <v>962</v>
      </c>
      <c r="ED150" s="87" t="s">
        <v>963</v>
      </c>
      <c r="EE150" s="87" t="s">
        <v>964</v>
      </c>
      <c r="EF150" s="87" t="s">
        <v>965</v>
      </c>
      <c r="EG150" s="87" t="s">
        <v>966</v>
      </c>
      <c r="EH150" s="67"/>
    </row>
    <row r="151" spans="36:138" x14ac:dyDescent="0.2">
      <c r="AJ151" s="12"/>
      <c r="AK151" s="12" t="s">
        <v>1776</v>
      </c>
      <c r="AL151" s="12" t="s">
        <v>1777</v>
      </c>
      <c r="AM151" s="12" t="s">
        <v>1777</v>
      </c>
      <c r="AN151" s="12" t="s">
        <v>1777</v>
      </c>
      <c r="AO151" s="12" t="s">
        <v>1777</v>
      </c>
      <c r="AP151" s="12" t="s">
        <v>1777</v>
      </c>
      <c r="AQ151" s="12" t="s">
        <v>1824</v>
      </c>
      <c r="AR151" s="12" t="s">
        <v>1777</v>
      </c>
      <c r="AS151" s="12" t="s">
        <v>1777</v>
      </c>
      <c r="AT151" s="12" t="s">
        <v>1777</v>
      </c>
      <c r="AU151" s="12" t="s">
        <v>1777</v>
      </c>
      <c r="AV151" s="12" t="s">
        <v>1777</v>
      </c>
      <c r="AW151" s="12" t="s">
        <v>1777</v>
      </c>
      <c r="AX151" s="12" t="s">
        <v>1777</v>
      </c>
      <c r="AY151" s="12" t="s">
        <v>1777</v>
      </c>
      <c r="AZ151" s="12" t="s">
        <v>1777</v>
      </c>
      <c r="BA151" s="12" t="s">
        <v>1777</v>
      </c>
      <c r="BB151" s="12" t="s">
        <v>1777</v>
      </c>
      <c r="BC151" s="12" t="s">
        <v>1834</v>
      </c>
      <c r="BD151" s="12" t="s">
        <v>1796</v>
      </c>
      <c r="BE151" s="12" t="s">
        <v>1777</v>
      </c>
      <c r="BF151" s="12" t="s">
        <v>1777</v>
      </c>
      <c r="BG151" s="12" t="s">
        <v>1779</v>
      </c>
      <c r="BH151" s="12" t="s">
        <v>1779</v>
      </c>
      <c r="BI151" s="12" t="s">
        <v>1776</v>
      </c>
      <c r="BJ151" s="12" t="s">
        <v>1777</v>
      </c>
      <c r="BK151" s="12" t="s">
        <v>1777</v>
      </c>
      <c r="BL151" s="12" t="s">
        <v>1777</v>
      </c>
      <c r="BM151" s="12" t="s">
        <v>1777</v>
      </c>
      <c r="BN151" s="12" t="s">
        <v>1796</v>
      </c>
      <c r="BO151" s="12" t="s">
        <v>1777</v>
      </c>
      <c r="BP151" s="12" t="s">
        <v>1779</v>
      </c>
      <c r="BQ151" s="12" t="s">
        <v>1777</v>
      </c>
      <c r="BR151" s="12" t="s">
        <v>1776</v>
      </c>
      <c r="BS151" s="12" t="s">
        <v>1809</v>
      </c>
      <c r="BT151" s="12" t="s">
        <v>1778</v>
      </c>
      <c r="BU151" s="12" t="s">
        <v>1780</v>
      </c>
      <c r="BV151" s="12" t="s">
        <v>1777</v>
      </c>
      <c r="BW151" s="67" t="s">
        <v>1776</v>
      </c>
      <c r="BX151" s="67" t="s">
        <v>1776</v>
      </c>
      <c r="BY151" s="67" t="s">
        <v>1777</v>
      </c>
      <c r="BZ151" s="67" t="s">
        <v>1778</v>
      </c>
      <c r="CA151" s="67" t="s">
        <v>1778</v>
      </c>
      <c r="CB151" s="67" t="s">
        <v>1777</v>
      </c>
      <c r="CC151" s="67" t="s">
        <v>1778</v>
      </c>
      <c r="CD151" s="67" t="s">
        <v>1777</v>
      </c>
      <c r="CE151" s="67" t="s">
        <v>1777</v>
      </c>
      <c r="CF151" s="67" t="s">
        <v>1777</v>
      </c>
      <c r="CG151" s="67" t="s">
        <v>1778</v>
      </c>
      <c r="CH151" s="67" t="s">
        <v>1778</v>
      </c>
      <c r="CI151" s="67" t="s">
        <v>1778</v>
      </c>
      <c r="CJ151" s="67" t="s">
        <v>1777</v>
      </c>
      <c r="CK151" s="67" t="s">
        <v>1803</v>
      </c>
      <c r="CL151" s="67" t="s">
        <v>1777</v>
      </c>
      <c r="CM151" s="67" t="s">
        <v>1777</v>
      </c>
      <c r="CN151" s="67" t="s">
        <v>1777</v>
      </c>
      <c r="CO151" s="67" t="s">
        <v>1777</v>
      </c>
      <c r="CP151" s="67" t="s">
        <v>1776</v>
      </c>
      <c r="CQ151" s="67" t="s">
        <v>1777</v>
      </c>
      <c r="CR151" s="67" t="s">
        <v>1778</v>
      </c>
      <c r="CS151" s="67" t="s">
        <v>1778</v>
      </c>
      <c r="CT151" s="67" t="s">
        <v>1779</v>
      </c>
      <c r="CU151" s="67" t="s">
        <v>1779</v>
      </c>
      <c r="CV151" s="67" t="s">
        <v>1779</v>
      </c>
      <c r="CW151" s="67" t="s">
        <v>1779</v>
      </c>
      <c r="CX151" s="67" t="s">
        <v>1780</v>
      </c>
      <c r="CY151" s="67" t="s">
        <v>1780</v>
      </c>
      <c r="CZ151" s="67" t="s">
        <v>1781</v>
      </c>
      <c r="DA151" s="67" t="s">
        <v>1781</v>
      </c>
      <c r="DB151" s="67" t="s">
        <v>1777</v>
      </c>
      <c r="DC151" s="67" t="s">
        <v>1777</v>
      </c>
      <c r="DD151" s="67" t="s">
        <v>1777</v>
      </c>
      <c r="DE151" s="67" t="s">
        <v>1777</v>
      </c>
      <c r="DF151" s="67" t="s">
        <v>1777</v>
      </c>
      <c r="DG151" s="67" t="s">
        <v>1777</v>
      </c>
      <c r="DH151" s="67" t="s">
        <v>1777</v>
      </c>
      <c r="DI151" s="67" t="s">
        <v>1782</v>
      </c>
      <c r="DJ151" s="67"/>
      <c r="DK151" s="67"/>
      <c r="DL151" s="67" t="s">
        <v>1782</v>
      </c>
      <c r="DM151" s="67"/>
      <c r="DN151" s="67"/>
      <c r="DO151" s="67"/>
      <c r="DP151" s="67"/>
      <c r="DQ151" s="67" t="s">
        <v>1782</v>
      </c>
      <c r="DR151" s="67"/>
      <c r="DS151" s="67" t="s">
        <v>1777</v>
      </c>
      <c r="DT151" s="67"/>
      <c r="DU151" s="67" t="s">
        <v>1777</v>
      </c>
      <c r="DV151" s="67" t="s">
        <v>1780</v>
      </c>
      <c r="DW151" s="67" t="s">
        <v>1780</v>
      </c>
      <c r="DX151" s="67" t="s">
        <v>1776</v>
      </c>
      <c r="DY151" s="67" t="s">
        <v>1776</v>
      </c>
      <c r="DZ151" s="67" t="s">
        <v>1780</v>
      </c>
      <c r="EA151" s="67" t="s">
        <v>5547</v>
      </c>
      <c r="EB151" s="67" t="s">
        <v>1778</v>
      </c>
      <c r="EC151" s="67" t="s">
        <v>1852</v>
      </c>
      <c r="ED151" s="67" t="s">
        <v>1780</v>
      </c>
      <c r="EE151" s="67" t="s">
        <v>1780</v>
      </c>
      <c r="EF151" s="67"/>
      <c r="EG151" s="67"/>
      <c r="EH151" s="67">
        <v>2</v>
      </c>
    </row>
    <row r="152" spans="36:138" x14ac:dyDescent="0.2">
      <c r="AJ152" s="12"/>
      <c r="AK152" s="12" t="s">
        <v>1816</v>
      </c>
      <c r="AL152" s="12" t="s">
        <v>1776</v>
      </c>
      <c r="AM152" s="12" t="s">
        <v>1776</v>
      </c>
      <c r="AN152" s="12" t="s">
        <v>1779</v>
      </c>
      <c r="AO152" s="12" t="s">
        <v>1779</v>
      </c>
      <c r="AP152" s="12" t="s">
        <v>1779</v>
      </c>
      <c r="AQ152" s="12" t="s">
        <v>1777</v>
      </c>
      <c r="AR152" s="12" t="s">
        <v>1776</v>
      </c>
      <c r="AS152" s="12" t="s">
        <v>1776</v>
      </c>
      <c r="AT152" s="12" t="s">
        <v>1776</v>
      </c>
      <c r="AU152" s="12" t="s">
        <v>1779</v>
      </c>
      <c r="AV152" s="12" t="s">
        <v>1779</v>
      </c>
      <c r="AW152" s="12" t="s">
        <v>1779</v>
      </c>
      <c r="AX152" s="12" t="s">
        <v>1804</v>
      </c>
      <c r="AY152" s="12" t="s">
        <v>1779</v>
      </c>
      <c r="AZ152" s="12" t="s">
        <v>1779</v>
      </c>
      <c r="BA152" s="12" t="s">
        <v>1779</v>
      </c>
      <c r="BB152" s="12" t="s">
        <v>1779</v>
      </c>
      <c r="BC152" s="12" t="s">
        <v>1845</v>
      </c>
      <c r="BD152" s="12" t="s">
        <v>1807</v>
      </c>
      <c r="BE152" s="12" t="s">
        <v>1776</v>
      </c>
      <c r="BF152" s="12" t="s">
        <v>1776</v>
      </c>
      <c r="BG152" s="12" t="s">
        <v>1777</v>
      </c>
      <c r="BH152" s="12" t="s">
        <v>1777</v>
      </c>
      <c r="BI152" s="12" t="s">
        <v>1780</v>
      </c>
      <c r="BJ152" s="12" t="s">
        <v>1776</v>
      </c>
      <c r="BK152" s="12" t="s">
        <v>1796</v>
      </c>
      <c r="BL152" s="12" t="s">
        <v>1818</v>
      </c>
      <c r="BM152" s="12" t="s">
        <v>1776</v>
      </c>
      <c r="BN152" s="12" t="s">
        <v>1807</v>
      </c>
      <c r="BO152" s="12" t="s">
        <v>1776</v>
      </c>
      <c r="BP152" s="12" t="s">
        <v>1809</v>
      </c>
      <c r="BQ152" s="12" t="s">
        <v>1796</v>
      </c>
      <c r="BR152" s="12" t="s">
        <v>1780</v>
      </c>
      <c r="BS152" s="12" t="s">
        <v>1780</v>
      </c>
      <c r="BT152" s="12" t="s">
        <v>1776</v>
      </c>
      <c r="BU152" s="12" t="s">
        <v>1777</v>
      </c>
      <c r="BV152" s="12" t="s">
        <v>1796</v>
      </c>
      <c r="BW152" s="67" t="s">
        <v>1780</v>
      </c>
      <c r="BX152" s="67" t="s">
        <v>1780</v>
      </c>
      <c r="BY152" s="67" t="s">
        <v>1779</v>
      </c>
      <c r="BZ152" s="67" t="s">
        <v>1776</v>
      </c>
      <c r="CA152" s="67" t="s">
        <v>1776</v>
      </c>
      <c r="CB152" s="67" t="s">
        <v>1776</v>
      </c>
      <c r="CC152" s="67" t="s">
        <v>1776</v>
      </c>
      <c r="CD152" s="67" t="s">
        <v>1796</v>
      </c>
      <c r="CE152" s="67" t="s">
        <v>1796</v>
      </c>
      <c r="CF152" s="67" t="s">
        <v>1796</v>
      </c>
      <c r="CG152" s="67" t="s">
        <v>1776</v>
      </c>
      <c r="CH152" s="67" t="s">
        <v>1776</v>
      </c>
      <c r="CI152" s="67" t="s">
        <v>1776</v>
      </c>
      <c r="CJ152" s="67" t="s">
        <v>1779</v>
      </c>
      <c r="CK152" s="67" t="s">
        <v>1777</v>
      </c>
      <c r="CL152" s="67" t="s">
        <v>1776</v>
      </c>
      <c r="CM152" s="67" t="s">
        <v>1779</v>
      </c>
      <c r="CN152" s="67" t="s">
        <v>1776</v>
      </c>
      <c r="CO152" s="67" t="s">
        <v>1776</v>
      </c>
      <c r="CP152" s="67" t="s">
        <v>1777</v>
      </c>
      <c r="CQ152" s="67" t="s">
        <v>1779</v>
      </c>
      <c r="CR152" s="67" t="s">
        <v>1797</v>
      </c>
      <c r="CS152" s="67" t="s">
        <v>1779</v>
      </c>
      <c r="CT152" s="67" t="s">
        <v>1777</v>
      </c>
      <c r="CU152" s="67" t="s">
        <v>1777</v>
      </c>
      <c r="CV152" s="67" t="s">
        <v>1777</v>
      </c>
      <c r="CW152" s="67" t="s">
        <v>1777</v>
      </c>
      <c r="CX152" s="67" t="s">
        <v>1777</v>
      </c>
      <c r="CY152" s="67" t="s">
        <v>1777</v>
      </c>
      <c r="CZ152" s="67" t="s">
        <v>1796</v>
      </c>
      <c r="DA152" s="67" t="s">
        <v>1796</v>
      </c>
      <c r="DB152" s="67" t="s">
        <v>1779</v>
      </c>
      <c r="DC152" s="67" t="s">
        <v>1779</v>
      </c>
      <c r="DD152" s="67" t="s">
        <v>1779</v>
      </c>
      <c r="DE152" s="67" t="s">
        <v>1798</v>
      </c>
      <c r="DF152" s="67" t="s">
        <v>1799</v>
      </c>
      <c r="DG152" s="67" t="s">
        <v>1799</v>
      </c>
      <c r="DH152" s="67" t="s">
        <v>1800</v>
      </c>
      <c r="DI152" s="67" t="s">
        <v>1777</v>
      </c>
      <c r="DJ152" s="67"/>
      <c r="DK152" s="67"/>
      <c r="DL152" s="67" t="s">
        <v>1777</v>
      </c>
      <c r="DM152" s="67"/>
      <c r="DN152" s="67"/>
      <c r="DO152" s="67"/>
      <c r="DP152" s="67"/>
      <c r="DQ152" s="67" t="s">
        <v>1777</v>
      </c>
      <c r="DR152" s="67"/>
      <c r="DS152" s="67" t="s">
        <v>1796</v>
      </c>
      <c r="DT152" s="67"/>
      <c r="DU152" s="67" t="s">
        <v>1779</v>
      </c>
      <c r="DV152" s="67" t="s">
        <v>1777</v>
      </c>
      <c r="DW152" s="67" t="s">
        <v>1777</v>
      </c>
      <c r="DX152" s="67" t="s">
        <v>1780</v>
      </c>
      <c r="DY152" s="67" t="s">
        <v>1780</v>
      </c>
      <c r="DZ152" s="67" t="s">
        <v>1825</v>
      </c>
      <c r="EA152" s="67" t="s">
        <v>5548</v>
      </c>
      <c r="EB152" s="67" t="s">
        <v>1782</v>
      </c>
      <c r="EC152" s="67" t="s">
        <v>1778</v>
      </c>
      <c r="ED152" s="67" t="s">
        <v>1825</v>
      </c>
      <c r="EE152" s="67" t="s">
        <v>1825</v>
      </c>
      <c r="EF152" s="67"/>
      <c r="EG152" s="67"/>
      <c r="EH152" s="67">
        <v>3</v>
      </c>
    </row>
    <row r="153" spans="36:138" x14ac:dyDescent="0.2">
      <c r="AJ153" s="12"/>
      <c r="AK153" s="12" t="s">
        <v>1818</v>
      </c>
      <c r="AL153" s="12" t="s">
        <v>1803</v>
      </c>
      <c r="AM153" s="12" t="s">
        <v>1803</v>
      </c>
      <c r="AN153" s="12" t="s">
        <v>1804</v>
      </c>
      <c r="AO153" s="12" t="s">
        <v>1804</v>
      </c>
      <c r="AP153" s="12" t="s">
        <v>1804</v>
      </c>
      <c r="AQ153" s="12" t="s">
        <v>1808</v>
      </c>
      <c r="AR153" s="12" t="s">
        <v>1806</v>
      </c>
      <c r="AS153" s="12" t="s">
        <v>1803</v>
      </c>
      <c r="AT153" s="12" t="s">
        <v>1805</v>
      </c>
      <c r="AU153" s="12" t="s">
        <v>1821</v>
      </c>
      <c r="AV153" s="12" t="s">
        <v>1776</v>
      </c>
      <c r="AW153" s="12" t="s">
        <v>1804</v>
      </c>
      <c r="AX153" s="12" t="s">
        <v>1780</v>
      </c>
      <c r="AY153" s="12" t="s">
        <v>1804</v>
      </c>
      <c r="AZ153" s="12" t="s">
        <v>1804</v>
      </c>
      <c r="BA153" s="12" t="s">
        <v>1804</v>
      </c>
      <c r="BB153" s="12" t="s">
        <v>1804</v>
      </c>
      <c r="BC153" s="12" t="s">
        <v>1798</v>
      </c>
      <c r="BD153" s="12" t="s">
        <v>1777</v>
      </c>
      <c r="BE153" s="12" t="s">
        <v>1806</v>
      </c>
      <c r="BF153" s="12" t="s">
        <v>1806</v>
      </c>
      <c r="BG153" s="12" t="s">
        <v>1776</v>
      </c>
      <c r="BH153" s="12" t="s">
        <v>1776</v>
      </c>
      <c r="BI153" s="12" t="s">
        <v>1777</v>
      </c>
      <c r="BJ153" s="12" t="s">
        <v>1804</v>
      </c>
      <c r="BK153" s="12" t="s">
        <v>1776</v>
      </c>
      <c r="BL153" s="12" t="s">
        <v>1814</v>
      </c>
      <c r="BM153" s="12" t="s">
        <v>1806</v>
      </c>
      <c r="BN153" s="12" t="s">
        <v>1777</v>
      </c>
      <c r="BO153" s="12" t="s">
        <v>1806</v>
      </c>
      <c r="BP153" s="12" t="s">
        <v>1777</v>
      </c>
      <c r="BQ153" s="12" t="s">
        <v>1776</v>
      </c>
      <c r="BR153" s="12" t="s">
        <v>1777</v>
      </c>
      <c r="BS153" s="12" t="s">
        <v>1779</v>
      </c>
      <c r="BT153" s="12" t="s">
        <v>1803</v>
      </c>
      <c r="BU153" s="12" t="s">
        <v>1779</v>
      </c>
      <c r="BV153" s="12" t="s">
        <v>1776</v>
      </c>
      <c r="BW153" s="67" t="s">
        <v>1777</v>
      </c>
      <c r="BX153" s="67" t="s">
        <v>1777</v>
      </c>
      <c r="BY153" s="67" t="s">
        <v>1780</v>
      </c>
      <c r="BZ153" s="67" t="s">
        <v>1803</v>
      </c>
      <c r="CA153" s="67" t="s">
        <v>1803</v>
      </c>
      <c r="CB153" s="67" t="s">
        <v>1804</v>
      </c>
      <c r="CC153" s="67" t="s">
        <v>1803</v>
      </c>
      <c r="CD153" s="67" t="s">
        <v>1776</v>
      </c>
      <c r="CE153" s="67" t="s">
        <v>1776</v>
      </c>
      <c r="CF153" s="67" t="s">
        <v>1776</v>
      </c>
      <c r="CG153" s="67" t="s">
        <v>1803</v>
      </c>
      <c r="CH153" s="67" t="s">
        <v>1803</v>
      </c>
      <c r="CI153" s="67" t="s">
        <v>1803</v>
      </c>
      <c r="CJ153" s="67" t="s">
        <v>1804</v>
      </c>
      <c r="CK153" s="67" t="s">
        <v>1800</v>
      </c>
      <c r="CL153" s="67" t="s">
        <v>1805</v>
      </c>
      <c r="CM153" s="67" t="s">
        <v>1776</v>
      </c>
      <c r="CN153" s="67" t="s">
        <v>1803</v>
      </c>
      <c r="CO153" s="67" t="s">
        <v>1806</v>
      </c>
      <c r="CP153" s="67" t="s">
        <v>1807</v>
      </c>
      <c r="CQ153" s="67" t="s">
        <v>1797</v>
      </c>
      <c r="CR153" s="67" t="s">
        <v>1780</v>
      </c>
      <c r="CS153" s="67" t="s">
        <v>1777</v>
      </c>
      <c r="CT153" s="67" t="s">
        <v>1776</v>
      </c>
      <c r="CU153" s="67" t="s">
        <v>1776</v>
      </c>
      <c r="CV153" s="67" t="s">
        <v>1776</v>
      </c>
      <c r="CW153" s="67" t="s">
        <v>1776</v>
      </c>
      <c r="CX153" s="67" t="s">
        <v>1779</v>
      </c>
      <c r="CY153" s="67" t="s">
        <v>1779</v>
      </c>
      <c r="CZ153" s="67" t="s">
        <v>1799</v>
      </c>
      <c r="DA153" s="67" t="s">
        <v>1799</v>
      </c>
      <c r="DB153" s="67" t="s">
        <v>1804</v>
      </c>
      <c r="DC153" s="67" t="s">
        <v>1804</v>
      </c>
      <c r="DD153" s="67" t="s">
        <v>1804</v>
      </c>
      <c r="DE153" s="67" t="s">
        <v>1808</v>
      </c>
      <c r="DF153" s="67" t="s">
        <v>1809</v>
      </c>
      <c r="DG153" s="67" t="s">
        <v>1809</v>
      </c>
      <c r="DH153" s="67" t="s">
        <v>1798</v>
      </c>
      <c r="DI153" s="67" t="s">
        <v>1798</v>
      </c>
      <c r="DJ153" s="67"/>
      <c r="DK153" s="67"/>
      <c r="DL153" s="67" t="s">
        <v>1798</v>
      </c>
      <c r="DM153" s="67"/>
      <c r="DN153" s="67"/>
      <c r="DO153" s="67"/>
      <c r="DP153" s="67"/>
      <c r="DQ153" s="67" t="s">
        <v>1798</v>
      </c>
      <c r="DR153" s="67"/>
      <c r="DS153" s="67" t="s">
        <v>1776</v>
      </c>
      <c r="DT153" s="67"/>
      <c r="DU153" s="67" t="s">
        <v>1804</v>
      </c>
      <c r="DV153" s="67" t="s">
        <v>1779</v>
      </c>
      <c r="DW153" s="67" t="s">
        <v>1779</v>
      </c>
      <c r="DX153" s="67" t="s">
        <v>1777</v>
      </c>
      <c r="DY153" s="67" t="s">
        <v>1777</v>
      </c>
      <c r="DZ153" s="67" t="s">
        <v>1805</v>
      </c>
      <c r="EA153" s="67"/>
      <c r="EB153" s="67" t="s">
        <v>1776</v>
      </c>
      <c r="EC153" s="67" t="s">
        <v>1780</v>
      </c>
      <c r="ED153" s="67" t="s">
        <v>1814</v>
      </c>
      <c r="EE153" s="67" t="s">
        <v>4347</v>
      </c>
      <c r="EF153" s="67"/>
      <c r="EG153" s="67"/>
      <c r="EH153" s="67">
        <v>4</v>
      </c>
    </row>
    <row r="154" spans="36:138" x14ac:dyDescent="0.2">
      <c r="AJ154" s="12"/>
      <c r="AK154" s="12" t="s">
        <v>1828</v>
      </c>
      <c r="AL154" s="12" t="s">
        <v>1811</v>
      </c>
      <c r="AM154" s="12" t="s">
        <v>1811</v>
      </c>
      <c r="AN154" s="12" t="s">
        <v>1780</v>
      </c>
      <c r="AO154" s="12" t="s">
        <v>1780</v>
      </c>
      <c r="AP154" s="12" t="s">
        <v>1780</v>
      </c>
      <c r="AQ154" s="12" t="s">
        <v>1809</v>
      </c>
      <c r="AR154" s="12" t="s">
        <v>1812</v>
      </c>
      <c r="AS154" s="12" t="s">
        <v>1811</v>
      </c>
      <c r="AT154" s="12" t="s">
        <v>1803</v>
      </c>
      <c r="AU154" s="12" t="s">
        <v>1782</v>
      </c>
      <c r="AV154" s="12" t="s">
        <v>1804</v>
      </c>
      <c r="AW154" s="12" t="s">
        <v>1780</v>
      </c>
      <c r="AX154" s="12" t="s">
        <v>1799</v>
      </c>
      <c r="AY154" s="12" t="s">
        <v>1780</v>
      </c>
      <c r="AZ154" s="12" t="s">
        <v>1780</v>
      </c>
      <c r="BA154" s="12" t="s">
        <v>1780</v>
      </c>
      <c r="BB154" s="12" t="s">
        <v>1780</v>
      </c>
      <c r="BC154" s="12" t="s">
        <v>1814</v>
      </c>
      <c r="BD154" s="12" t="s">
        <v>1799</v>
      </c>
      <c r="BE154" s="12" t="s">
        <v>1812</v>
      </c>
      <c r="BF154" s="12" t="s">
        <v>1812</v>
      </c>
      <c r="BG154" s="12" t="s">
        <v>1780</v>
      </c>
      <c r="BH154" s="12" t="s">
        <v>1780</v>
      </c>
      <c r="BI154" s="12" t="s">
        <v>1779</v>
      </c>
      <c r="BJ154" s="12" t="s">
        <v>1818</v>
      </c>
      <c r="BK154" s="12" t="s">
        <v>1804</v>
      </c>
      <c r="BL154" s="12" t="s">
        <v>1850</v>
      </c>
      <c r="BM154" s="12" t="s">
        <v>1812</v>
      </c>
      <c r="BN154" s="12" t="s">
        <v>1799</v>
      </c>
      <c r="BO154" s="12" t="s">
        <v>1812</v>
      </c>
      <c r="BP154" s="12" t="s">
        <v>1799</v>
      </c>
      <c r="BQ154" s="12" t="s">
        <v>1804</v>
      </c>
      <c r="BR154" s="12" t="s">
        <v>1779</v>
      </c>
      <c r="BS154" s="12" t="s">
        <v>1798</v>
      </c>
      <c r="BT154" s="12" t="s">
        <v>1777</v>
      </c>
      <c r="BU154" s="12" t="s">
        <v>1796</v>
      </c>
      <c r="BV154" s="12" t="s">
        <v>1804</v>
      </c>
      <c r="BW154" s="67" t="s">
        <v>1779</v>
      </c>
      <c r="BX154" s="67" t="s">
        <v>1779</v>
      </c>
      <c r="BY154" s="67" t="s">
        <v>1810</v>
      </c>
      <c r="BZ154" s="67" t="s">
        <v>1777</v>
      </c>
      <c r="CA154" s="67" t="s">
        <v>1777</v>
      </c>
      <c r="CB154" s="67" t="s">
        <v>1805</v>
      </c>
      <c r="CC154" s="67" t="s">
        <v>1777</v>
      </c>
      <c r="CD154" s="67" t="s">
        <v>1804</v>
      </c>
      <c r="CE154" s="67" t="s">
        <v>1804</v>
      </c>
      <c r="CF154" s="67" t="s">
        <v>1804</v>
      </c>
      <c r="CG154" s="67" t="s">
        <v>1777</v>
      </c>
      <c r="CH154" s="67" t="s">
        <v>1777</v>
      </c>
      <c r="CI154" s="67" t="s">
        <v>1777</v>
      </c>
      <c r="CJ154" s="67" t="s">
        <v>1780</v>
      </c>
      <c r="CK154" s="67" t="s">
        <v>1809</v>
      </c>
      <c r="CL154" s="67" t="s">
        <v>1803</v>
      </c>
      <c r="CM154" s="67"/>
      <c r="CN154" s="67" t="s">
        <v>1811</v>
      </c>
      <c r="CO154" s="67" t="s">
        <v>1812</v>
      </c>
      <c r="CP154" s="67" t="s">
        <v>1803</v>
      </c>
      <c r="CQ154" s="67" t="s">
        <v>1780</v>
      </c>
      <c r="CR154" s="67" t="s">
        <v>1777</v>
      </c>
      <c r="CS154" s="67" t="s">
        <v>1776</v>
      </c>
      <c r="CT154" s="67" t="s">
        <v>1780</v>
      </c>
      <c r="CU154" s="67" t="s">
        <v>1780</v>
      </c>
      <c r="CV154" s="67" t="s">
        <v>1780</v>
      </c>
      <c r="CW154" s="67" t="s">
        <v>1780</v>
      </c>
      <c r="CX154" s="67" t="s">
        <v>1811</v>
      </c>
      <c r="CY154" s="67" t="s">
        <v>1811</v>
      </c>
      <c r="CZ154" s="67" t="s">
        <v>1804</v>
      </c>
      <c r="DA154" s="67" t="s">
        <v>1804</v>
      </c>
      <c r="DB154" s="67" t="s">
        <v>1780</v>
      </c>
      <c r="DC154" s="67" t="s">
        <v>1780</v>
      </c>
      <c r="DD154" s="67" t="s">
        <v>1780</v>
      </c>
      <c r="DE154" s="67" t="s">
        <v>1799</v>
      </c>
      <c r="DF154" s="67" t="s">
        <v>1813</v>
      </c>
      <c r="DG154" s="67" t="s">
        <v>1813</v>
      </c>
      <c r="DH154" s="67" t="s">
        <v>1809</v>
      </c>
      <c r="DI154" s="67" t="s">
        <v>1796</v>
      </c>
      <c r="DJ154" s="67"/>
      <c r="DK154" s="67"/>
      <c r="DL154" s="67" t="s">
        <v>1796</v>
      </c>
      <c r="DM154" s="67"/>
      <c r="DN154" s="67"/>
      <c r="DO154" s="67"/>
      <c r="DP154" s="67"/>
      <c r="DQ154" s="67" t="s">
        <v>1796</v>
      </c>
      <c r="DR154" s="67"/>
      <c r="DS154" s="67" t="s">
        <v>1804</v>
      </c>
      <c r="DT154" s="67"/>
      <c r="DU154" s="67" t="s">
        <v>1780</v>
      </c>
      <c r="DV154" s="67" t="s">
        <v>1805</v>
      </c>
      <c r="DW154" s="67" t="s">
        <v>1796</v>
      </c>
      <c r="DX154" s="67" t="s">
        <v>1779</v>
      </c>
      <c r="DY154" s="67" t="s">
        <v>1779</v>
      </c>
      <c r="DZ154" s="67" t="s">
        <v>5499</v>
      </c>
      <c r="EA154" s="67"/>
      <c r="EB154" s="67" t="s">
        <v>1803</v>
      </c>
      <c r="EC154" s="67" t="s">
        <v>1816</v>
      </c>
      <c r="ED154" s="67" t="s">
        <v>5499</v>
      </c>
      <c r="EE154" s="67" t="s">
        <v>1805</v>
      </c>
      <c r="EF154" s="67"/>
      <c r="EG154" s="67"/>
      <c r="EH154" s="67">
        <v>5</v>
      </c>
    </row>
    <row r="155" spans="36:138" x14ac:dyDescent="0.2">
      <c r="AJ155" s="12"/>
      <c r="AK155" s="12" t="s">
        <v>1798</v>
      </c>
      <c r="AL155" s="12" t="s">
        <v>1816</v>
      </c>
      <c r="AM155" s="12" t="s">
        <v>1816</v>
      </c>
      <c r="AN155" s="12" t="s">
        <v>1812</v>
      </c>
      <c r="AO155" s="12" t="s">
        <v>1812</v>
      </c>
      <c r="AP155" s="12" t="s">
        <v>1812</v>
      </c>
      <c r="AQ155" s="12"/>
      <c r="AR155" s="12" t="s">
        <v>1805</v>
      </c>
      <c r="AS155" s="12" t="s">
        <v>1816</v>
      </c>
      <c r="AT155" s="12" t="s">
        <v>1811</v>
      </c>
      <c r="AU155" s="12" t="s">
        <v>1811</v>
      </c>
      <c r="AV155" s="12" t="s">
        <v>1821</v>
      </c>
      <c r="AW155" s="12" t="s">
        <v>1799</v>
      </c>
      <c r="AX155" s="12" t="s">
        <v>1814</v>
      </c>
      <c r="AY155" s="12" t="s">
        <v>1799</v>
      </c>
      <c r="AZ155" s="12" t="s">
        <v>1799</v>
      </c>
      <c r="BA155" s="12" t="s">
        <v>1799</v>
      </c>
      <c r="BB155" s="12" t="s">
        <v>1799</v>
      </c>
      <c r="BC155" s="12" t="s">
        <v>1777</v>
      </c>
      <c r="BD155" s="12" t="s">
        <v>1803</v>
      </c>
      <c r="BE155" s="12" t="s">
        <v>1805</v>
      </c>
      <c r="BF155" s="12" t="s">
        <v>1805</v>
      </c>
      <c r="BG155" s="12" t="s">
        <v>1817</v>
      </c>
      <c r="BH155" s="12" t="s">
        <v>1817</v>
      </c>
      <c r="BI155" s="12" t="s">
        <v>1798</v>
      </c>
      <c r="BJ155" s="12" t="s">
        <v>1847</v>
      </c>
      <c r="BK155" s="12" t="s">
        <v>1805</v>
      </c>
      <c r="BL155" s="12"/>
      <c r="BM155" s="12" t="s">
        <v>1805</v>
      </c>
      <c r="BN155" s="12" t="s">
        <v>1803</v>
      </c>
      <c r="BO155" s="12" t="s">
        <v>1805</v>
      </c>
      <c r="BP155" s="12" t="s">
        <v>1814</v>
      </c>
      <c r="BQ155" s="12" t="s">
        <v>1805</v>
      </c>
      <c r="BR155" s="12" t="s">
        <v>1798</v>
      </c>
      <c r="BS155" s="12" t="s">
        <v>1814</v>
      </c>
      <c r="BT155" s="12" t="s">
        <v>1815</v>
      </c>
      <c r="BU155" s="12" t="s">
        <v>1799</v>
      </c>
      <c r="BV155" s="12" t="s">
        <v>1805</v>
      </c>
      <c r="BW155" s="67" t="s">
        <v>1798</v>
      </c>
      <c r="BX155" s="67" t="s">
        <v>1798</v>
      </c>
      <c r="BY155" s="67" t="s">
        <v>1814</v>
      </c>
      <c r="BZ155" s="67" t="s">
        <v>1815</v>
      </c>
      <c r="CA155" s="67" t="s">
        <v>1815</v>
      </c>
      <c r="CB155" s="67" t="s">
        <v>1803</v>
      </c>
      <c r="CC155" s="67" t="s">
        <v>1815</v>
      </c>
      <c r="CD155" s="67" t="s">
        <v>1805</v>
      </c>
      <c r="CE155" s="67" t="s">
        <v>1805</v>
      </c>
      <c r="CF155" s="67" t="s">
        <v>1805</v>
      </c>
      <c r="CG155" s="67" t="s">
        <v>1815</v>
      </c>
      <c r="CH155" s="67" t="s">
        <v>1815</v>
      </c>
      <c r="CI155" s="67" t="s">
        <v>1815</v>
      </c>
      <c r="CJ155" s="67" t="s">
        <v>1812</v>
      </c>
      <c r="CK155" s="67"/>
      <c r="CL155" s="67" t="s">
        <v>1811</v>
      </c>
      <c r="CM155" s="67" t="s">
        <v>1804</v>
      </c>
      <c r="CN155" s="67" t="s">
        <v>1816</v>
      </c>
      <c r="CO155" s="67" t="s">
        <v>1805</v>
      </c>
      <c r="CP155" s="67" t="s">
        <v>1811</v>
      </c>
      <c r="CQ155" s="67" t="s">
        <v>1805</v>
      </c>
      <c r="CR155" s="67" t="s">
        <v>1815</v>
      </c>
      <c r="CS155" s="67" t="s">
        <v>1780</v>
      </c>
      <c r="CT155" s="67" t="s">
        <v>1803</v>
      </c>
      <c r="CU155" s="67" t="s">
        <v>1803</v>
      </c>
      <c r="CV155" s="67" t="s">
        <v>1803</v>
      </c>
      <c r="CW155" s="67" t="s">
        <v>1817</v>
      </c>
      <c r="CX155" s="67" t="s">
        <v>1818</v>
      </c>
      <c r="CY155" s="67" t="s">
        <v>1818</v>
      </c>
      <c r="CZ155" s="67" t="s">
        <v>1809</v>
      </c>
      <c r="DA155" s="67" t="s">
        <v>1809</v>
      </c>
      <c r="DB155" s="67" t="s">
        <v>1799</v>
      </c>
      <c r="DC155" s="67" t="s">
        <v>1799</v>
      </c>
      <c r="DD155" s="67" t="s">
        <v>1799</v>
      </c>
      <c r="DE155" s="67" t="s">
        <v>1809</v>
      </c>
      <c r="DF155" s="67" t="s">
        <v>1819</v>
      </c>
      <c r="DG155" s="67" t="s">
        <v>1819</v>
      </c>
      <c r="DH155" s="67" t="s">
        <v>1819</v>
      </c>
      <c r="DI155" s="67" t="s">
        <v>1799</v>
      </c>
      <c r="DJ155" s="67"/>
      <c r="DK155" s="67"/>
      <c r="DL155" s="67" t="s">
        <v>1799</v>
      </c>
      <c r="DM155" s="67"/>
      <c r="DN155" s="67"/>
      <c r="DO155" s="67"/>
      <c r="DP155" s="67"/>
      <c r="DQ155" s="67" t="s">
        <v>1799</v>
      </c>
      <c r="DR155" s="67"/>
      <c r="DS155" s="67" t="s">
        <v>1805</v>
      </c>
      <c r="DT155" s="67"/>
      <c r="DU155" s="67" t="s">
        <v>1812</v>
      </c>
      <c r="DV155" s="67"/>
      <c r="DW155" s="67" t="s">
        <v>1799</v>
      </c>
      <c r="DX155" s="67" t="s">
        <v>1800</v>
      </c>
      <c r="DY155" s="67" t="s">
        <v>1800</v>
      </c>
      <c r="DZ155" s="67"/>
      <c r="EA155" s="67"/>
      <c r="EB155" s="67" t="s">
        <v>5556</v>
      </c>
      <c r="EC155" s="67" t="s">
        <v>1805</v>
      </c>
      <c r="ED155" s="67"/>
      <c r="EE155" s="67" t="s">
        <v>5499</v>
      </c>
      <c r="EF155" s="67"/>
      <c r="EG155" s="67"/>
      <c r="EH155" s="67">
        <v>6</v>
      </c>
    </row>
    <row r="156" spans="36:138" x14ac:dyDescent="0.2">
      <c r="AJ156" s="12"/>
      <c r="AK156" s="12" t="s">
        <v>1809</v>
      </c>
      <c r="AL156" s="12" t="s">
        <v>1818</v>
      </c>
      <c r="AM156" s="12" t="s">
        <v>1818</v>
      </c>
      <c r="AN156" s="12" t="s">
        <v>1805</v>
      </c>
      <c r="AO156" s="12" t="s">
        <v>1805</v>
      </c>
      <c r="AP156" s="12" t="s">
        <v>1805</v>
      </c>
      <c r="AQ156" s="12"/>
      <c r="AR156" s="12" t="s">
        <v>1820</v>
      </c>
      <c r="AS156" s="12" t="s">
        <v>1818</v>
      </c>
      <c r="AT156" s="12" t="s">
        <v>1816</v>
      </c>
      <c r="AU156" s="12" t="s">
        <v>1799</v>
      </c>
      <c r="AV156" s="12" t="s">
        <v>1782</v>
      </c>
      <c r="AW156" s="12" t="s">
        <v>1814</v>
      </c>
      <c r="AX156" s="12"/>
      <c r="AY156" s="12" t="s">
        <v>1814</v>
      </c>
      <c r="AZ156" s="12" t="s">
        <v>1814</v>
      </c>
      <c r="BA156" s="12" t="s">
        <v>1814</v>
      </c>
      <c r="BB156" s="12" t="s">
        <v>1814</v>
      </c>
      <c r="BC156" s="12" t="s">
        <v>1804</v>
      </c>
      <c r="BD156" s="12" t="s">
        <v>1843</v>
      </c>
      <c r="BE156" s="12" t="s">
        <v>1799</v>
      </c>
      <c r="BF156" s="12" t="s">
        <v>1820</v>
      </c>
      <c r="BG156" s="12" t="s">
        <v>1814</v>
      </c>
      <c r="BH156" s="12" t="s">
        <v>1814</v>
      </c>
      <c r="BI156" s="12" t="s">
        <v>1809</v>
      </c>
      <c r="BJ156" s="12" t="s">
        <v>1850</v>
      </c>
      <c r="BK156" s="12" t="s">
        <v>1820</v>
      </c>
      <c r="BL156" s="12"/>
      <c r="BM156" s="12" t="s">
        <v>1799</v>
      </c>
      <c r="BN156" s="12" t="s">
        <v>1843</v>
      </c>
      <c r="BO156" s="12" t="s">
        <v>1820</v>
      </c>
      <c r="BP156" s="12" t="s">
        <v>1776</v>
      </c>
      <c r="BQ156" s="12" t="s">
        <v>1820</v>
      </c>
      <c r="BR156" s="12" t="s">
        <v>1809</v>
      </c>
      <c r="BS156" s="12" t="s">
        <v>1777</v>
      </c>
      <c r="BT156" s="12" t="s">
        <v>1798</v>
      </c>
      <c r="BU156" s="12" t="s">
        <v>1809</v>
      </c>
      <c r="BV156" s="12" t="s">
        <v>1820</v>
      </c>
      <c r="BW156" s="67" t="s">
        <v>1809</v>
      </c>
      <c r="BX156" s="67" t="s">
        <v>1809</v>
      </c>
      <c r="BY156" s="67" t="s">
        <v>1818</v>
      </c>
      <c r="BZ156" s="67" t="s">
        <v>1798</v>
      </c>
      <c r="CA156" s="67" t="s">
        <v>1798</v>
      </c>
      <c r="CB156" s="67" t="s">
        <v>1811</v>
      </c>
      <c r="CC156" s="67" t="s">
        <v>1798</v>
      </c>
      <c r="CD156" s="67" t="s">
        <v>1820</v>
      </c>
      <c r="CE156" s="67" t="s">
        <v>1820</v>
      </c>
      <c r="CF156" s="67" t="s">
        <v>1820</v>
      </c>
      <c r="CG156" s="67" t="s">
        <v>1798</v>
      </c>
      <c r="CH156" s="67" t="s">
        <v>1798</v>
      </c>
      <c r="CI156" s="67" t="s">
        <v>1798</v>
      </c>
      <c r="CJ156" s="67" t="s">
        <v>1805</v>
      </c>
      <c r="CK156" s="67"/>
      <c r="CL156" s="67" t="s">
        <v>1816</v>
      </c>
      <c r="CM156" s="67" t="s">
        <v>1821</v>
      </c>
      <c r="CN156" s="67" t="s">
        <v>1818</v>
      </c>
      <c r="CO156" s="67" t="s">
        <v>1820</v>
      </c>
      <c r="CP156" s="67" t="s">
        <v>1822</v>
      </c>
      <c r="CQ156" s="67" t="s">
        <v>1821</v>
      </c>
      <c r="CR156" s="67" t="s">
        <v>1798</v>
      </c>
      <c r="CS156" s="67" t="s">
        <v>1803</v>
      </c>
      <c r="CT156" s="67" t="s">
        <v>1814</v>
      </c>
      <c r="CU156" s="67" t="s">
        <v>1814</v>
      </c>
      <c r="CV156" s="67" t="s">
        <v>1814</v>
      </c>
      <c r="CW156" s="67" t="s">
        <v>1814</v>
      </c>
      <c r="CX156" s="67" t="s">
        <v>1804</v>
      </c>
      <c r="CY156" s="67" t="s">
        <v>1804</v>
      </c>
      <c r="CZ156" s="67" t="s">
        <v>1823</v>
      </c>
      <c r="DA156" s="67" t="s">
        <v>1823</v>
      </c>
      <c r="DB156" s="67" t="s">
        <v>1814</v>
      </c>
      <c r="DC156" s="67" t="s">
        <v>1814</v>
      </c>
      <c r="DD156" s="67" t="s">
        <v>1814</v>
      </c>
      <c r="DE156" s="67" t="s">
        <v>1813</v>
      </c>
      <c r="DF156" s="67" t="s">
        <v>1824</v>
      </c>
      <c r="DG156" s="67" t="s">
        <v>1824</v>
      </c>
      <c r="DH156" s="67" t="s">
        <v>1813</v>
      </c>
      <c r="DI156" s="67" t="s">
        <v>1814</v>
      </c>
      <c r="DJ156" s="67"/>
      <c r="DK156" s="67"/>
      <c r="DL156" s="67" t="s">
        <v>1804</v>
      </c>
      <c r="DM156" s="67"/>
      <c r="DN156" s="67"/>
      <c r="DO156" s="67"/>
      <c r="DP156" s="67"/>
      <c r="DQ156" s="67" t="s">
        <v>1804</v>
      </c>
      <c r="DR156" s="67"/>
      <c r="DS156" s="67" t="s">
        <v>1820</v>
      </c>
      <c r="DT156" s="67"/>
      <c r="DU156" s="67" t="s">
        <v>1805</v>
      </c>
      <c r="DV156" s="67" t="s">
        <v>1818</v>
      </c>
      <c r="DW156" s="67" t="s">
        <v>1809</v>
      </c>
      <c r="DX156" s="67" t="s">
        <v>1811</v>
      </c>
      <c r="DY156" s="67" t="s">
        <v>1811</v>
      </c>
      <c r="DZ156" s="67"/>
      <c r="EA156" s="67"/>
      <c r="EB156" s="67" t="s">
        <v>1777</v>
      </c>
      <c r="EC156" s="67" t="s">
        <v>1820</v>
      </c>
      <c r="ED156" s="67"/>
      <c r="EE156" s="67"/>
      <c r="EF156" s="67"/>
      <c r="EG156" s="67"/>
      <c r="EH156" s="67">
        <v>7</v>
      </c>
    </row>
    <row r="157" spans="36:138" x14ac:dyDescent="0.2">
      <c r="AJ157" s="12"/>
      <c r="AK157" s="12" t="s">
        <v>1843</v>
      </c>
      <c r="AL157" s="12" t="s">
        <v>1828</v>
      </c>
      <c r="AM157" s="12" t="s">
        <v>1828</v>
      </c>
      <c r="AN157" s="12" t="s">
        <v>1827</v>
      </c>
      <c r="AO157" s="12" t="s">
        <v>1827</v>
      </c>
      <c r="AP157" s="12" t="s">
        <v>1827</v>
      </c>
      <c r="AQ157" s="12"/>
      <c r="AR157" s="12" t="s">
        <v>1803</v>
      </c>
      <c r="AS157" s="12" t="s">
        <v>1828</v>
      </c>
      <c r="AT157" s="12" t="s">
        <v>1828</v>
      </c>
      <c r="AU157" s="12" t="s">
        <v>1818</v>
      </c>
      <c r="AV157" s="12" t="s">
        <v>1811</v>
      </c>
      <c r="AW157" s="12" t="s">
        <v>1830</v>
      </c>
      <c r="AX157" s="12"/>
      <c r="AY157" s="12" t="s">
        <v>1830</v>
      </c>
      <c r="AZ157" s="12" t="s">
        <v>1830</v>
      </c>
      <c r="BA157" s="12" t="s">
        <v>1847</v>
      </c>
      <c r="BB157" s="12" t="s">
        <v>1847</v>
      </c>
      <c r="BC157" s="12" t="s">
        <v>1850</v>
      </c>
      <c r="BD157" s="12"/>
      <c r="BE157" s="12" t="s">
        <v>1803</v>
      </c>
      <c r="BF157" s="12" t="s">
        <v>1803</v>
      </c>
      <c r="BG157" s="12" t="s">
        <v>1818</v>
      </c>
      <c r="BH157" s="12" t="s">
        <v>1818</v>
      </c>
      <c r="BI157" s="12" t="s">
        <v>1825</v>
      </c>
      <c r="BJ157" s="12" t="s">
        <v>1814</v>
      </c>
      <c r="BK157" s="12" t="s">
        <v>1821</v>
      </c>
      <c r="BL157" s="12"/>
      <c r="BM157" s="12" t="s">
        <v>1803</v>
      </c>
      <c r="BN157" s="12" t="s">
        <v>1779</v>
      </c>
      <c r="BO157" s="12" t="s">
        <v>1803</v>
      </c>
      <c r="BP157" s="12" t="s">
        <v>1780</v>
      </c>
      <c r="BQ157" s="12" t="s">
        <v>1821</v>
      </c>
      <c r="BR157" s="12" t="s">
        <v>1825</v>
      </c>
      <c r="BS157" s="12" t="s">
        <v>1818</v>
      </c>
      <c r="BT157" s="12" t="s">
        <v>1811</v>
      </c>
      <c r="BU157" s="12" t="s">
        <v>1821</v>
      </c>
      <c r="BV157" s="12" t="s">
        <v>1821</v>
      </c>
      <c r="BW157" s="67" t="s">
        <v>1825</v>
      </c>
      <c r="BX157" s="67" t="s">
        <v>1825</v>
      </c>
      <c r="BY157" s="67" t="s">
        <v>1826</v>
      </c>
      <c r="BZ157" s="67" t="s">
        <v>1811</v>
      </c>
      <c r="CA157" s="67" t="s">
        <v>1811</v>
      </c>
      <c r="CB157" s="67" t="s">
        <v>1818</v>
      </c>
      <c r="CC157" s="67" t="s">
        <v>1811</v>
      </c>
      <c r="CD157" s="67" t="s">
        <v>1803</v>
      </c>
      <c r="CE157" s="67" t="s">
        <v>1803</v>
      </c>
      <c r="CF157" s="67" t="s">
        <v>1821</v>
      </c>
      <c r="CG157" s="67" t="s">
        <v>1811</v>
      </c>
      <c r="CH157" s="67" t="s">
        <v>1811</v>
      </c>
      <c r="CI157" s="67" t="s">
        <v>1811</v>
      </c>
      <c r="CJ157" s="67" t="s">
        <v>1827</v>
      </c>
      <c r="CK157" s="67"/>
      <c r="CL157" s="67" t="s">
        <v>1828</v>
      </c>
      <c r="CM157" s="67" t="s">
        <v>1782</v>
      </c>
      <c r="CN157" s="67" t="s">
        <v>1828</v>
      </c>
      <c r="CO157" s="67" t="s">
        <v>1803</v>
      </c>
      <c r="CP157" s="67" t="s">
        <v>1798</v>
      </c>
      <c r="CQ157" s="67" t="s">
        <v>1782</v>
      </c>
      <c r="CR157" s="67" t="s">
        <v>1811</v>
      </c>
      <c r="CS157" s="67" t="s">
        <v>1814</v>
      </c>
      <c r="CT157" s="67" t="s">
        <v>1818</v>
      </c>
      <c r="CU157" s="67" t="s">
        <v>1818</v>
      </c>
      <c r="CV157" s="67" t="s">
        <v>1818</v>
      </c>
      <c r="CW157" s="67" t="s">
        <v>1818</v>
      </c>
      <c r="CX157" s="67" t="s">
        <v>1814</v>
      </c>
      <c r="CY157" s="67" t="s">
        <v>1814</v>
      </c>
      <c r="CZ157" s="67" t="s">
        <v>1829</v>
      </c>
      <c r="DA157" s="67" t="s">
        <v>1829</v>
      </c>
      <c r="DB157" s="67" t="s">
        <v>1830</v>
      </c>
      <c r="DC157" s="67" t="s">
        <v>1830</v>
      </c>
      <c r="DD157" s="67" t="s">
        <v>1830</v>
      </c>
      <c r="DE157" s="67" t="s">
        <v>1831</v>
      </c>
      <c r="DF157" s="67"/>
      <c r="DG157" s="67"/>
      <c r="DH157" s="67" t="s">
        <v>1824</v>
      </c>
      <c r="DI157" s="67" t="s">
        <v>1832</v>
      </c>
      <c r="DJ157" s="67"/>
      <c r="DK157" s="67"/>
      <c r="DL157" s="67" t="s">
        <v>1814</v>
      </c>
      <c r="DM157" s="67"/>
      <c r="DN157" s="67"/>
      <c r="DO157" s="67"/>
      <c r="DP157" s="67"/>
      <c r="DQ157" s="67" t="s">
        <v>1814</v>
      </c>
      <c r="DR157" s="67"/>
      <c r="DS157" s="67" t="s">
        <v>1803</v>
      </c>
      <c r="DT157" s="67"/>
      <c r="DU157" s="67" t="s">
        <v>1821</v>
      </c>
      <c r="DV157" s="67" t="s">
        <v>1833</v>
      </c>
      <c r="DW157" s="67" t="s">
        <v>1821</v>
      </c>
      <c r="DX157" s="67" t="s">
        <v>1851</v>
      </c>
      <c r="DY157" s="67" t="s">
        <v>1851</v>
      </c>
      <c r="DZ157" s="67"/>
      <c r="EA157" s="67"/>
      <c r="EB157" s="67" t="s">
        <v>1816</v>
      </c>
      <c r="EC157" s="67" t="s">
        <v>5555</v>
      </c>
      <c r="ED157" s="67"/>
      <c r="EE157" s="67"/>
      <c r="EF157" s="67"/>
      <c r="EG157" s="67"/>
      <c r="EH157" s="67">
        <v>8</v>
      </c>
    </row>
    <row r="158" spans="36:138" x14ac:dyDescent="0.2">
      <c r="AJ158" s="12"/>
      <c r="AK158" s="12" t="s">
        <v>1852</v>
      </c>
      <c r="AL158" s="12" t="s">
        <v>1798</v>
      </c>
      <c r="AM158" s="12" t="s">
        <v>1798</v>
      </c>
      <c r="AN158" s="12" t="s">
        <v>1778</v>
      </c>
      <c r="AO158" s="12" t="s">
        <v>1778</v>
      </c>
      <c r="AP158" s="12" t="s">
        <v>1778</v>
      </c>
      <c r="AQ158" s="12"/>
      <c r="AR158" s="12" t="s">
        <v>1834</v>
      </c>
      <c r="AS158" s="12" t="s">
        <v>1798</v>
      </c>
      <c r="AT158" s="12" t="s">
        <v>1818</v>
      </c>
      <c r="AU158" s="12" t="s">
        <v>1798</v>
      </c>
      <c r="AV158" s="12" t="s">
        <v>1799</v>
      </c>
      <c r="AW158" s="12" t="s">
        <v>1812</v>
      </c>
      <c r="AX158" s="12"/>
      <c r="AY158" s="12" t="s">
        <v>1812</v>
      </c>
      <c r="AZ158" s="12" t="s">
        <v>1838</v>
      </c>
      <c r="BA158" s="12" t="s">
        <v>1850</v>
      </c>
      <c r="BB158" s="12" t="s">
        <v>1850</v>
      </c>
      <c r="BC158" s="12"/>
      <c r="BD158" s="12"/>
      <c r="BE158" s="12" t="s">
        <v>1834</v>
      </c>
      <c r="BF158" s="12" t="s">
        <v>1834</v>
      </c>
      <c r="BG158" s="12" t="s">
        <v>1804</v>
      </c>
      <c r="BH158" s="12" t="s">
        <v>1804</v>
      </c>
      <c r="BI158" s="12" t="s">
        <v>1799</v>
      </c>
      <c r="BJ158" s="12"/>
      <c r="BK158" s="12" t="s">
        <v>1803</v>
      </c>
      <c r="BL158" s="12"/>
      <c r="BM158" s="12" t="s">
        <v>1834</v>
      </c>
      <c r="BN158" s="12" t="s">
        <v>4159</v>
      </c>
      <c r="BO158" s="12" t="s">
        <v>1834</v>
      </c>
      <c r="BP158" s="12"/>
      <c r="BQ158" s="12" t="s">
        <v>1803</v>
      </c>
      <c r="BR158" s="12" t="s">
        <v>1799</v>
      </c>
      <c r="BS158" s="12"/>
      <c r="BT158" s="12" t="s">
        <v>1805</v>
      </c>
      <c r="BU158" s="12" t="s">
        <v>1800</v>
      </c>
      <c r="BV158" s="12" t="s">
        <v>1803</v>
      </c>
      <c r="BW158" s="67"/>
      <c r="BX158" s="67" t="s">
        <v>1799</v>
      </c>
      <c r="BY158" s="67"/>
      <c r="BZ158" s="67" t="s">
        <v>1805</v>
      </c>
      <c r="CA158" s="67" t="s">
        <v>1805</v>
      </c>
      <c r="CB158" s="67" t="s">
        <v>1828</v>
      </c>
      <c r="CC158" s="67" t="s">
        <v>1805</v>
      </c>
      <c r="CD158" s="67" t="s">
        <v>1778</v>
      </c>
      <c r="CE158" s="67" t="s">
        <v>1778</v>
      </c>
      <c r="CF158" s="67" t="s">
        <v>1782</v>
      </c>
      <c r="CG158" s="67" t="s">
        <v>1805</v>
      </c>
      <c r="CH158" s="67" t="s">
        <v>1805</v>
      </c>
      <c r="CI158" s="67" t="s">
        <v>1805</v>
      </c>
      <c r="CJ158" s="67" t="s">
        <v>1778</v>
      </c>
      <c r="CK158" s="67"/>
      <c r="CL158" s="67" t="s">
        <v>1818</v>
      </c>
      <c r="CM158" s="67" t="s">
        <v>1811</v>
      </c>
      <c r="CN158" s="67" t="s">
        <v>1798</v>
      </c>
      <c r="CO158" s="67" t="s">
        <v>1834</v>
      </c>
      <c r="CP158" s="67"/>
      <c r="CQ158" s="67" t="s">
        <v>1799</v>
      </c>
      <c r="CR158" s="67" t="s">
        <v>1818</v>
      </c>
      <c r="CS158" s="67" t="s">
        <v>1818</v>
      </c>
      <c r="CT158" s="67" t="s">
        <v>1804</v>
      </c>
      <c r="CU158" s="67" t="s">
        <v>1804</v>
      </c>
      <c r="CV158" s="67" t="s">
        <v>1804</v>
      </c>
      <c r="CW158" s="67" t="s">
        <v>1804</v>
      </c>
      <c r="CX158" s="67" t="s">
        <v>1835</v>
      </c>
      <c r="CY158" s="67" t="s">
        <v>1835</v>
      </c>
      <c r="CZ158" s="67" t="s">
        <v>1836</v>
      </c>
      <c r="DA158" s="67" t="s">
        <v>1837</v>
      </c>
      <c r="DB158" s="67" t="s">
        <v>1838</v>
      </c>
      <c r="DC158" s="67" t="s">
        <v>1838</v>
      </c>
      <c r="DD158" s="67" t="s">
        <v>1838</v>
      </c>
      <c r="DE158" s="67" t="s">
        <v>1819</v>
      </c>
      <c r="DF158" s="67"/>
      <c r="DG158" s="67"/>
      <c r="DH158" s="67"/>
      <c r="DI158" s="67" t="s">
        <v>1839</v>
      </c>
      <c r="DJ158" s="67"/>
      <c r="DK158" s="67"/>
      <c r="DL158" s="67" t="s">
        <v>1806</v>
      </c>
      <c r="DM158" s="67"/>
      <c r="DN158" s="67"/>
      <c r="DO158" s="67"/>
      <c r="DP158" s="67"/>
      <c r="DQ158" s="67" t="s">
        <v>1806</v>
      </c>
      <c r="DR158" s="67"/>
      <c r="DS158" s="67" t="s">
        <v>1778</v>
      </c>
      <c r="DT158" s="67"/>
      <c r="DU158" s="67" t="s">
        <v>1782</v>
      </c>
      <c r="DV158" s="67" t="s">
        <v>1827</v>
      </c>
      <c r="DW158" s="67" t="s">
        <v>1800</v>
      </c>
      <c r="DX158" s="67" t="s">
        <v>1805</v>
      </c>
      <c r="DY158" s="67" t="s">
        <v>1805</v>
      </c>
      <c r="DZ158" s="67"/>
      <c r="EA158" s="67"/>
      <c r="EB158" s="67" t="s">
        <v>1815</v>
      </c>
      <c r="EC158" s="67" t="s">
        <v>1828</v>
      </c>
      <c r="ED158" s="67"/>
      <c r="EE158" s="67"/>
      <c r="EF158" s="67"/>
      <c r="EG158" s="67"/>
      <c r="EH158" s="67">
        <v>9</v>
      </c>
    </row>
    <row r="159" spans="36:138" x14ac:dyDescent="0.2">
      <c r="AJ159" s="12"/>
      <c r="AK159" s="12" t="s">
        <v>1812</v>
      </c>
      <c r="AL159" s="12" t="s">
        <v>1809</v>
      </c>
      <c r="AM159" s="12" t="s">
        <v>1809</v>
      </c>
      <c r="AN159" s="12" t="s">
        <v>1809</v>
      </c>
      <c r="AO159" s="12" t="s">
        <v>1809</v>
      </c>
      <c r="AP159" s="12" t="s">
        <v>1809</v>
      </c>
      <c r="AQ159" s="12"/>
      <c r="AR159" s="12" t="s">
        <v>1778</v>
      </c>
      <c r="AS159" s="12" t="s">
        <v>1809</v>
      </c>
      <c r="AT159" s="12" t="s">
        <v>1798</v>
      </c>
      <c r="AU159" s="12" t="s">
        <v>1809</v>
      </c>
      <c r="AV159" s="12" t="s">
        <v>1818</v>
      </c>
      <c r="AW159" s="12"/>
      <c r="AX159" s="12"/>
      <c r="AY159" s="12"/>
      <c r="AZ159" s="12"/>
      <c r="BA159" s="12"/>
      <c r="BB159" s="12" t="s">
        <v>1805</v>
      </c>
      <c r="BC159" s="12"/>
      <c r="BD159" s="12"/>
      <c r="BE159" s="12" t="s">
        <v>1852</v>
      </c>
      <c r="BF159" s="12" t="s">
        <v>1778</v>
      </c>
      <c r="BG159" s="12" t="s">
        <v>1803</v>
      </c>
      <c r="BH159" s="12" t="s">
        <v>1808</v>
      </c>
      <c r="BI159" s="12"/>
      <c r="BJ159" s="12"/>
      <c r="BK159" s="12" t="s">
        <v>1811</v>
      </c>
      <c r="BL159" s="12"/>
      <c r="BM159" s="12" t="s">
        <v>1852</v>
      </c>
      <c r="BN159" s="12" t="s">
        <v>1776</v>
      </c>
      <c r="BO159" s="12" t="s">
        <v>1778</v>
      </c>
      <c r="BP159" s="12"/>
      <c r="BQ159" s="12" t="s">
        <v>1811</v>
      </c>
      <c r="BR159" s="12"/>
      <c r="BS159" s="12"/>
      <c r="BT159" s="12" t="s">
        <v>1820</v>
      </c>
      <c r="BU159" s="12"/>
      <c r="BV159" s="12" t="s">
        <v>1811</v>
      </c>
      <c r="BW159" s="67"/>
      <c r="BX159" s="67"/>
      <c r="BY159" s="67"/>
      <c r="BZ159" s="67" t="s">
        <v>1820</v>
      </c>
      <c r="CA159" s="67" t="s">
        <v>1820</v>
      </c>
      <c r="CB159" s="67" t="s">
        <v>1807</v>
      </c>
      <c r="CC159" s="67" t="s">
        <v>1820</v>
      </c>
      <c r="CD159" s="67" t="s">
        <v>1816</v>
      </c>
      <c r="CE159" s="67" t="s">
        <v>1816</v>
      </c>
      <c r="CF159" s="67" t="s">
        <v>1803</v>
      </c>
      <c r="CG159" s="67" t="s">
        <v>1820</v>
      </c>
      <c r="CH159" s="67" t="s">
        <v>1820</v>
      </c>
      <c r="CI159" s="67" t="s">
        <v>1820</v>
      </c>
      <c r="CJ159" s="67" t="s">
        <v>1809</v>
      </c>
      <c r="CK159" s="67"/>
      <c r="CL159" s="67" t="s">
        <v>1798</v>
      </c>
      <c r="CM159" s="67" t="s">
        <v>1799</v>
      </c>
      <c r="CN159" s="67" t="s">
        <v>1809</v>
      </c>
      <c r="CO159" s="67" t="s">
        <v>1778</v>
      </c>
      <c r="CP159" s="67"/>
      <c r="CQ159" s="67" t="s">
        <v>1814</v>
      </c>
      <c r="CR159" s="67" t="s">
        <v>1796</v>
      </c>
      <c r="CS159" s="67" t="s">
        <v>1804</v>
      </c>
      <c r="CT159" s="67"/>
      <c r="CU159" s="67" t="s">
        <v>1808</v>
      </c>
      <c r="CV159" s="67"/>
      <c r="CW159" s="67" t="s">
        <v>1808</v>
      </c>
      <c r="CX159" s="67" t="s">
        <v>1840</v>
      </c>
      <c r="CY159" s="67" t="s">
        <v>1840</v>
      </c>
      <c r="CZ159" s="67"/>
      <c r="DA159" s="67"/>
      <c r="DB159" s="67"/>
      <c r="DC159" s="67"/>
      <c r="DD159" s="67"/>
      <c r="DE159" s="67" t="s">
        <v>1824</v>
      </c>
      <c r="DF159" s="67"/>
      <c r="DG159" s="67"/>
      <c r="DH159" s="67"/>
      <c r="DI159" s="67" t="s">
        <v>1841</v>
      </c>
      <c r="DJ159" s="67"/>
      <c r="DK159" s="67"/>
      <c r="DL159" s="67" t="s">
        <v>1841</v>
      </c>
      <c r="DM159" s="67"/>
      <c r="DN159" s="67"/>
      <c r="DO159" s="67"/>
      <c r="DP159" s="67"/>
      <c r="DQ159" s="67" t="s">
        <v>1841</v>
      </c>
      <c r="DR159" s="67"/>
      <c r="DS159" s="67" t="s">
        <v>1816</v>
      </c>
      <c r="DT159" s="67"/>
      <c r="DU159" s="67" t="s">
        <v>1803</v>
      </c>
      <c r="DV159" s="67" t="s">
        <v>1823</v>
      </c>
      <c r="DW159" s="67"/>
      <c r="DX159" s="67" t="s">
        <v>1796</v>
      </c>
      <c r="DY159" s="67" t="s">
        <v>1796</v>
      </c>
      <c r="DZ159" s="67"/>
      <c r="EA159" s="67"/>
      <c r="EB159" s="67" t="s">
        <v>1798</v>
      </c>
      <c r="EC159" s="67" t="s">
        <v>1812</v>
      </c>
      <c r="ED159" s="67"/>
      <c r="EE159" s="67"/>
      <c r="EF159" s="67"/>
      <c r="EG159" s="67"/>
      <c r="EH159" s="67">
        <v>10</v>
      </c>
    </row>
    <row r="160" spans="36:138" x14ac:dyDescent="0.2">
      <c r="AJ160" s="12"/>
      <c r="AK160" s="12" t="s">
        <v>1805</v>
      </c>
      <c r="AL160" s="12" t="s">
        <v>1843</v>
      </c>
      <c r="AM160" s="12" t="s">
        <v>1843</v>
      </c>
      <c r="AN160" s="12" t="s">
        <v>1842</v>
      </c>
      <c r="AO160" s="12" t="s">
        <v>1842</v>
      </c>
      <c r="AP160" s="12" t="s">
        <v>1842</v>
      </c>
      <c r="AQ160" s="12"/>
      <c r="AR160" s="12" t="s">
        <v>1816</v>
      </c>
      <c r="AS160" s="12" t="s">
        <v>1843</v>
      </c>
      <c r="AT160" s="12" t="s">
        <v>1807</v>
      </c>
      <c r="AU160" s="12" t="s">
        <v>1829</v>
      </c>
      <c r="AV160" s="12" t="s">
        <v>1828</v>
      </c>
      <c r="AW160" s="12"/>
      <c r="AX160" s="12"/>
      <c r="AY160" s="12"/>
      <c r="AZ160" s="12"/>
      <c r="BA160" s="12"/>
      <c r="BB160" s="12" t="s">
        <v>1812</v>
      </c>
      <c r="BC160" s="12"/>
      <c r="BD160" s="12"/>
      <c r="BE160" s="12" t="s">
        <v>1818</v>
      </c>
      <c r="BF160" s="12" t="s">
        <v>1816</v>
      </c>
      <c r="BG160" s="12" t="s">
        <v>1812</v>
      </c>
      <c r="BH160" s="12" t="s">
        <v>1800</v>
      </c>
      <c r="BI160" s="12"/>
      <c r="BJ160" s="12"/>
      <c r="BK160" s="12" t="s">
        <v>1799</v>
      </c>
      <c r="BL160" s="12"/>
      <c r="BM160" s="12" t="s">
        <v>1818</v>
      </c>
      <c r="BN160" s="12" t="s">
        <v>1780</v>
      </c>
      <c r="BO160" s="12" t="s">
        <v>1816</v>
      </c>
      <c r="BP160" s="12"/>
      <c r="BQ160" s="12" t="s">
        <v>1799</v>
      </c>
      <c r="BR160" s="12"/>
      <c r="BS160" s="12"/>
      <c r="BT160" s="12" t="s">
        <v>1818</v>
      </c>
      <c r="BU160" s="12"/>
      <c r="BV160" s="12" t="s">
        <v>1799</v>
      </c>
      <c r="BW160" s="67"/>
      <c r="BX160" s="67"/>
      <c r="BY160" s="67"/>
      <c r="BZ160" s="67" t="s">
        <v>1818</v>
      </c>
      <c r="CA160" s="67" t="s">
        <v>1818</v>
      </c>
      <c r="CB160" s="67" t="s">
        <v>1809</v>
      </c>
      <c r="CC160" s="67" t="s">
        <v>1818</v>
      </c>
      <c r="CD160" s="67" t="s">
        <v>1818</v>
      </c>
      <c r="CE160" s="67" t="s">
        <v>1818</v>
      </c>
      <c r="CF160" s="67" t="s">
        <v>1811</v>
      </c>
      <c r="CG160" s="67" t="s">
        <v>1818</v>
      </c>
      <c r="CH160" s="67" t="s">
        <v>1818</v>
      </c>
      <c r="CI160" s="67" t="s">
        <v>1818</v>
      </c>
      <c r="CJ160" s="67" t="s">
        <v>1842</v>
      </c>
      <c r="CK160" s="67"/>
      <c r="CL160" s="67" t="s">
        <v>1807</v>
      </c>
      <c r="CM160" s="67" t="s">
        <v>1818</v>
      </c>
      <c r="CN160" s="67" t="s">
        <v>1843</v>
      </c>
      <c r="CO160" s="67" t="s">
        <v>1816</v>
      </c>
      <c r="CP160" s="67"/>
      <c r="CQ160" s="67" t="s">
        <v>1818</v>
      </c>
      <c r="CR160" s="67" t="s">
        <v>1799</v>
      </c>
      <c r="CS160" s="67"/>
      <c r="CT160" s="67"/>
      <c r="CU160" s="67" t="s">
        <v>1800</v>
      </c>
      <c r="CV160" s="67"/>
      <c r="CW160" s="67" t="s">
        <v>1800</v>
      </c>
      <c r="CX160" s="67" t="s">
        <v>1832</v>
      </c>
      <c r="CY160" s="67" t="s">
        <v>1832</v>
      </c>
      <c r="CZ160" s="67"/>
      <c r="DA160" s="67"/>
      <c r="DB160" s="67"/>
      <c r="DC160" s="67"/>
      <c r="DD160" s="67"/>
      <c r="DE160" s="67"/>
      <c r="DF160" s="67"/>
      <c r="DG160" s="67"/>
      <c r="DH160" s="67"/>
      <c r="DI160" s="67"/>
      <c r="DJ160" s="67"/>
      <c r="DK160" s="67"/>
      <c r="DL160" s="67"/>
      <c r="DM160" s="67"/>
      <c r="DN160" s="67"/>
      <c r="DO160" s="67"/>
      <c r="DP160" s="67"/>
      <c r="DQ160" s="67"/>
      <c r="DR160" s="67"/>
      <c r="DS160" s="67" t="s">
        <v>1818</v>
      </c>
      <c r="DT160" s="67"/>
      <c r="DU160" s="67" t="s">
        <v>1799</v>
      </c>
      <c r="DV160" s="67" t="s">
        <v>1840</v>
      </c>
      <c r="DW160" s="67"/>
      <c r="DX160" s="67" t="s">
        <v>1799</v>
      </c>
      <c r="DY160" s="67" t="s">
        <v>1799</v>
      </c>
      <c r="DZ160" s="67"/>
      <c r="EA160" s="67"/>
      <c r="EB160" s="67" t="s">
        <v>1805</v>
      </c>
      <c r="EC160" s="67" t="s">
        <v>1827</v>
      </c>
      <c r="ED160" s="67"/>
      <c r="EE160" s="67"/>
      <c r="EF160" s="67"/>
      <c r="EG160" s="67"/>
      <c r="EH160" s="67">
        <v>11</v>
      </c>
    </row>
    <row r="161" spans="36:138" x14ac:dyDescent="0.2">
      <c r="AJ161" s="12"/>
      <c r="AK161" s="12" t="s">
        <v>1827</v>
      </c>
      <c r="AL161" s="12" t="s">
        <v>1846</v>
      </c>
      <c r="AM161" s="12" t="s">
        <v>1846</v>
      </c>
      <c r="AN161" s="12" t="s">
        <v>1845</v>
      </c>
      <c r="AO161" s="12" t="s">
        <v>1845</v>
      </c>
      <c r="AP161" s="12" t="s">
        <v>1845</v>
      </c>
      <c r="AQ161" s="12"/>
      <c r="AR161" s="12" t="s">
        <v>1818</v>
      </c>
      <c r="AS161" s="12" t="s">
        <v>1846</v>
      </c>
      <c r="AT161" s="12" t="s">
        <v>1843</v>
      </c>
      <c r="AU161" s="12" t="s">
        <v>1808</v>
      </c>
      <c r="AV161" s="12" t="s">
        <v>1798</v>
      </c>
      <c r="AW161" s="12"/>
      <c r="AX161" s="12"/>
      <c r="AY161" s="12"/>
      <c r="AZ161" s="12"/>
      <c r="BA161" s="12"/>
      <c r="BB161" s="12"/>
      <c r="BC161" s="12"/>
      <c r="BD161" s="12"/>
      <c r="BE161" s="12" t="s">
        <v>1809</v>
      </c>
      <c r="BF161" s="12" t="s">
        <v>1818</v>
      </c>
      <c r="BG161" s="12" t="s">
        <v>1827</v>
      </c>
      <c r="BH161" s="12"/>
      <c r="BI161" s="12"/>
      <c r="BJ161" s="12"/>
      <c r="BK161" s="12" t="s">
        <v>1816</v>
      </c>
      <c r="BL161" s="12"/>
      <c r="BM161" s="12" t="s">
        <v>1809</v>
      </c>
      <c r="BN161" s="12" t="s">
        <v>1805</v>
      </c>
      <c r="BO161" s="12" t="s">
        <v>1818</v>
      </c>
      <c r="BP161" s="12"/>
      <c r="BQ161" s="12" t="s">
        <v>1816</v>
      </c>
      <c r="BR161" s="12"/>
      <c r="BS161" s="12"/>
      <c r="BT161" s="12" t="s">
        <v>1804</v>
      </c>
      <c r="BU161" s="12"/>
      <c r="BV161" s="12" t="s">
        <v>1816</v>
      </c>
      <c r="BW161" s="67"/>
      <c r="BX161" s="67"/>
      <c r="BY161" s="67"/>
      <c r="BZ161" s="67" t="s">
        <v>1804</v>
      </c>
      <c r="CA161" s="67" t="s">
        <v>1804</v>
      </c>
      <c r="CB161" s="67" t="s">
        <v>1844</v>
      </c>
      <c r="CC161" s="67" t="s">
        <v>1804</v>
      </c>
      <c r="CD161" s="67" t="s">
        <v>1828</v>
      </c>
      <c r="CE161" s="67" t="s">
        <v>1828</v>
      </c>
      <c r="CF161" s="67" t="s">
        <v>1799</v>
      </c>
      <c r="CG161" s="67" t="s">
        <v>1804</v>
      </c>
      <c r="CH161" s="67" t="s">
        <v>1804</v>
      </c>
      <c r="CI161" s="67" t="s">
        <v>1804</v>
      </c>
      <c r="CJ161" s="67" t="s">
        <v>1845</v>
      </c>
      <c r="CK161" s="67"/>
      <c r="CL161" s="67" t="s">
        <v>1843</v>
      </c>
      <c r="CM161" s="67" t="s">
        <v>1828</v>
      </c>
      <c r="CN161" s="67" t="s">
        <v>1846</v>
      </c>
      <c r="CO161" s="67" t="s">
        <v>1818</v>
      </c>
      <c r="CP161" s="67"/>
      <c r="CQ161" s="67" t="s">
        <v>1835</v>
      </c>
      <c r="CR161" s="67" t="s">
        <v>1814</v>
      </c>
      <c r="CS161" s="67"/>
      <c r="CT161" s="67"/>
      <c r="CU161" s="67"/>
      <c r="CV161" s="67"/>
      <c r="CW161" s="67"/>
      <c r="CX161" s="67"/>
      <c r="CY161" s="67"/>
      <c r="CZ161" s="67"/>
      <c r="DA161" s="67"/>
      <c r="DB161" s="67"/>
      <c r="DC161" s="67"/>
      <c r="DD161" s="67"/>
      <c r="DE161" s="67"/>
      <c r="DF161" s="67"/>
      <c r="DG161" s="67"/>
      <c r="DH161" s="67"/>
      <c r="DI161" s="67"/>
      <c r="DJ161" s="67"/>
      <c r="DK161" s="67"/>
      <c r="DL161" s="67"/>
      <c r="DM161" s="67"/>
      <c r="DN161" s="67"/>
      <c r="DO161" s="67"/>
      <c r="DP161" s="67"/>
      <c r="DQ161" s="67"/>
      <c r="DR161" s="67"/>
      <c r="DS161" s="67" t="s">
        <v>1828</v>
      </c>
      <c r="DT161" s="67"/>
      <c r="DU161" s="67" t="s">
        <v>1814</v>
      </c>
      <c r="DV161" s="67"/>
      <c r="DW161" s="67"/>
      <c r="DX161" s="67" t="s">
        <v>1804</v>
      </c>
      <c r="DY161" s="67" t="s">
        <v>1804</v>
      </c>
      <c r="DZ161" s="67"/>
      <c r="EA161" s="67"/>
      <c r="EB161" s="67" t="s">
        <v>5557</v>
      </c>
      <c r="EC161" s="67" t="s">
        <v>5499</v>
      </c>
      <c r="ED161" s="67"/>
      <c r="EE161" s="67"/>
      <c r="EF161" s="67"/>
      <c r="EG161" s="67"/>
      <c r="EH161" s="67">
        <v>12</v>
      </c>
    </row>
    <row r="162" spans="36:138" x14ac:dyDescent="0.2">
      <c r="AJ162" s="12"/>
      <c r="AK162" s="12" t="s">
        <v>1778</v>
      </c>
      <c r="AL162" s="12" t="s">
        <v>1847</v>
      </c>
      <c r="AM162" s="12" t="s">
        <v>1847</v>
      </c>
      <c r="AN162" s="12" t="s">
        <v>1834</v>
      </c>
      <c r="AO162" s="12" t="s">
        <v>1834</v>
      </c>
      <c r="AP162" s="12" t="s">
        <v>1834</v>
      </c>
      <c r="AQ162" s="12"/>
      <c r="AR162" s="12" t="s">
        <v>1828</v>
      </c>
      <c r="AS162" s="12" t="s">
        <v>1847</v>
      </c>
      <c r="AT162" s="12" t="s">
        <v>1846</v>
      </c>
      <c r="AU162" s="12" t="s">
        <v>1878</v>
      </c>
      <c r="AV162" s="12" t="s">
        <v>1809</v>
      </c>
      <c r="AW162" s="12"/>
      <c r="AX162" s="12"/>
      <c r="AY162" s="12"/>
      <c r="AZ162" s="12"/>
      <c r="BA162" s="12"/>
      <c r="BB162" s="12"/>
      <c r="BC162" s="12"/>
      <c r="BD162" s="12"/>
      <c r="BE162" s="12" t="s">
        <v>1843</v>
      </c>
      <c r="BF162" s="12" t="s">
        <v>1828</v>
      </c>
      <c r="BG162" s="12"/>
      <c r="BH162" s="12"/>
      <c r="BI162" s="12"/>
      <c r="BJ162" s="12"/>
      <c r="BK162" s="12" t="s">
        <v>1818</v>
      </c>
      <c r="BL162" s="12"/>
      <c r="BM162" s="12" t="s">
        <v>1843</v>
      </c>
      <c r="BN162" s="12" t="s">
        <v>1812</v>
      </c>
      <c r="BO162" s="12" t="s">
        <v>1828</v>
      </c>
      <c r="BP162" s="12"/>
      <c r="BQ162" s="12" t="s">
        <v>1818</v>
      </c>
      <c r="BR162" s="12"/>
      <c r="BS162" s="12"/>
      <c r="BT162" s="12" t="s">
        <v>1809</v>
      </c>
      <c r="BU162" s="12"/>
      <c r="BV162" s="12" t="s">
        <v>1818</v>
      </c>
      <c r="BW162" s="67"/>
      <c r="BX162" s="67"/>
      <c r="BY162" s="67"/>
      <c r="BZ162" s="67" t="s">
        <v>1809</v>
      </c>
      <c r="CA162" s="67" t="s">
        <v>1809</v>
      </c>
      <c r="CB162" s="67" t="s">
        <v>1799</v>
      </c>
      <c r="CC162" s="67" t="s">
        <v>1809</v>
      </c>
      <c r="CD162" s="67" t="s">
        <v>1807</v>
      </c>
      <c r="CE162" s="67" t="s">
        <v>1807</v>
      </c>
      <c r="CF162" s="67" t="s">
        <v>1816</v>
      </c>
      <c r="CG162" s="67" t="s">
        <v>1809</v>
      </c>
      <c r="CH162" s="67" t="s">
        <v>1809</v>
      </c>
      <c r="CI162" s="67" t="s">
        <v>1809</v>
      </c>
      <c r="CJ162" s="67" t="s">
        <v>1834</v>
      </c>
      <c r="CK162" s="67"/>
      <c r="CL162" s="67" t="s">
        <v>1846</v>
      </c>
      <c r="CM162" s="67" t="s">
        <v>1798</v>
      </c>
      <c r="CN162" s="67" t="s">
        <v>1847</v>
      </c>
      <c r="CO162" s="67" t="s">
        <v>1828</v>
      </c>
      <c r="CP162" s="67"/>
      <c r="CQ162" s="67" t="s">
        <v>1825</v>
      </c>
      <c r="CR162" s="67" t="s">
        <v>1828</v>
      </c>
      <c r="CS162" s="67"/>
      <c r="CT162" s="67"/>
      <c r="CU162" s="67"/>
      <c r="CV162" s="67"/>
      <c r="CW162" s="67"/>
      <c r="CX162" s="67"/>
      <c r="CY162" s="67"/>
      <c r="CZ162" s="67"/>
      <c r="DA162" s="67"/>
      <c r="DB162" s="67"/>
      <c r="DC162" s="67"/>
      <c r="DD162" s="67"/>
      <c r="DE162" s="67"/>
      <c r="DF162" s="67"/>
      <c r="DG162" s="67"/>
      <c r="DH162" s="67"/>
      <c r="DI162" s="67"/>
      <c r="DJ162" s="67"/>
      <c r="DK162" s="67"/>
      <c r="DL162" s="67"/>
      <c r="DM162" s="67"/>
      <c r="DN162" s="67"/>
      <c r="DO162" s="67"/>
      <c r="DP162" s="67"/>
      <c r="DQ162" s="67"/>
      <c r="DR162" s="67"/>
      <c r="DS162" s="67" t="s">
        <v>1848</v>
      </c>
      <c r="DT162" s="67"/>
      <c r="DU162" s="67" t="s">
        <v>1778</v>
      </c>
      <c r="DV162" s="67"/>
      <c r="DW162" s="67"/>
      <c r="DX162" s="67" t="s">
        <v>1809</v>
      </c>
      <c r="DY162" s="67" t="s">
        <v>1809</v>
      </c>
      <c r="DZ162" s="67"/>
      <c r="EA162" s="67"/>
      <c r="EB162" s="67" t="s">
        <v>1796</v>
      </c>
      <c r="EC162" s="67"/>
      <c r="ED162" s="67"/>
      <c r="EE162" s="67"/>
      <c r="EF162" s="67"/>
      <c r="EG162" s="67"/>
      <c r="EH162" s="67">
        <v>13</v>
      </c>
    </row>
    <row r="163" spans="36:138" x14ac:dyDescent="0.2">
      <c r="AJ163" s="12"/>
      <c r="AK163" s="12" t="s">
        <v>1845</v>
      </c>
      <c r="AL163" s="12" t="s">
        <v>1850</v>
      </c>
      <c r="AM163" s="12" t="s">
        <v>1850</v>
      </c>
      <c r="AN163" s="12" t="s">
        <v>724</v>
      </c>
      <c r="AO163" s="12" t="s">
        <v>724</v>
      </c>
      <c r="AP163" s="12" t="s">
        <v>724</v>
      </c>
      <c r="AQ163" s="12"/>
      <c r="AR163" s="12" t="s">
        <v>1807</v>
      </c>
      <c r="AS163" s="12" t="s">
        <v>1850</v>
      </c>
      <c r="AT163" s="12" t="s">
        <v>1847</v>
      </c>
      <c r="AU163" s="12" t="s">
        <v>1880</v>
      </c>
      <c r="AV163" s="12" t="s">
        <v>1847</v>
      </c>
      <c r="AW163" s="12"/>
      <c r="AX163" s="12"/>
      <c r="AY163" s="12"/>
      <c r="AZ163" s="12"/>
      <c r="BA163" s="12"/>
      <c r="BB163" s="12"/>
      <c r="BC163" s="12"/>
      <c r="BD163" s="12"/>
      <c r="BE163" s="12" t="s">
        <v>1847</v>
      </c>
      <c r="BF163" s="12" t="s">
        <v>1807</v>
      </c>
      <c r="BG163" s="12"/>
      <c r="BH163" s="12"/>
      <c r="BI163" s="12"/>
      <c r="BJ163" s="12"/>
      <c r="BK163" s="12" t="s">
        <v>1828</v>
      </c>
      <c r="BL163" s="12"/>
      <c r="BM163" s="12" t="s">
        <v>1847</v>
      </c>
      <c r="BN163" s="12" t="s">
        <v>1798</v>
      </c>
      <c r="BO163" s="12" t="s">
        <v>1807</v>
      </c>
      <c r="BP163" s="12"/>
      <c r="BQ163" s="12" t="s">
        <v>1828</v>
      </c>
      <c r="BR163" s="12"/>
      <c r="BS163" s="12"/>
      <c r="BT163" s="12" t="s">
        <v>1849</v>
      </c>
      <c r="BU163" s="12"/>
      <c r="BV163" s="12" t="s">
        <v>1828</v>
      </c>
      <c r="BW163" s="67"/>
      <c r="BX163" s="67"/>
      <c r="BY163" s="67"/>
      <c r="BZ163" s="67" t="s">
        <v>1849</v>
      </c>
      <c r="CA163" s="67" t="s">
        <v>1849</v>
      </c>
      <c r="CB163" s="67"/>
      <c r="CC163" s="67" t="s">
        <v>1849</v>
      </c>
      <c r="CD163" s="67" t="s">
        <v>1809</v>
      </c>
      <c r="CE163" s="67" t="s">
        <v>1809</v>
      </c>
      <c r="CF163" s="67" t="s">
        <v>1818</v>
      </c>
      <c r="CG163" s="67" t="s">
        <v>1849</v>
      </c>
      <c r="CH163" s="67" t="s">
        <v>1849</v>
      </c>
      <c r="CI163" s="67" t="s">
        <v>1849</v>
      </c>
      <c r="CJ163" s="67" t="s">
        <v>724</v>
      </c>
      <c r="CK163" s="67"/>
      <c r="CL163" s="67" t="s">
        <v>1847</v>
      </c>
      <c r="CM163" s="67" t="s">
        <v>1809</v>
      </c>
      <c r="CN163" s="67" t="s">
        <v>1850</v>
      </c>
      <c r="CO163" s="67" t="s">
        <v>1807</v>
      </c>
      <c r="CP163" s="67"/>
      <c r="CQ163" s="67"/>
      <c r="CR163" s="67" t="s">
        <v>1851</v>
      </c>
      <c r="CS163" s="67"/>
      <c r="CT163" s="67"/>
      <c r="CU163" s="67"/>
      <c r="CV163" s="67"/>
      <c r="CW163" s="67"/>
      <c r="CX163" s="67"/>
      <c r="CY163" s="67"/>
      <c r="CZ163" s="67"/>
      <c r="DA163" s="67"/>
      <c r="DB163" s="67"/>
      <c r="DC163" s="67"/>
      <c r="DD163" s="67"/>
      <c r="DE163" s="67"/>
      <c r="DF163" s="67"/>
      <c r="DG163" s="67"/>
      <c r="DH163" s="67"/>
      <c r="DI163" s="67"/>
      <c r="DJ163" s="67"/>
      <c r="DK163" s="67"/>
      <c r="DL163" s="67"/>
      <c r="DM163" s="67"/>
      <c r="DN163" s="67"/>
      <c r="DO163" s="67"/>
      <c r="DP163" s="67"/>
      <c r="DQ163" s="67"/>
      <c r="DR163" s="67"/>
      <c r="DS163" s="67" t="s">
        <v>1809</v>
      </c>
      <c r="DT163" s="67"/>
      <c r="DU163" s="67" t="s">
        <v>1816</v>
      </c>
      <c r="DV163" s="67"/>
      <c r="DW163" s="67"/>
      <c r="DX163" s="67" t="s">
        <v>1821</v>
      </c>
      <c r="DY163" s="67" t="s">
        <v>1812</v>
      </c>
      <c r="DZ163" s="67"/>
      <c r="EA163" s="67"/>
      <c r="EB163" s="67" t="s">
        <v>5558</v>
      </c>
      <c r="EC163" s="67"/>
      <c r="ED163" s="67"/>
      <c r="EE163" s="67"/>
      <c r="EF163" s="67"/>
      <c r="EG163" s="67"/>
      <c r="EH163" s="67">
        <v>14</v>
      </c>
    </row>
    <row r="164" spans="36:138" x14ac:dyDescent="0.2">
      <c r="AJ164" s="12"/>
      <c r="AK164" s="12" t="s">
        <v>1834</v>
      </c>
      <c r="AL164" s="12" t="s">
        <v>1852</v>
      </c>
      <c r="AM164" s="12" t="s">
        <v>1852</v>
      </c>
      <c r="AN164" s="12"/>
      <c r="AO164" s="12"/>
      <c r="AP164" s="12"/>
      <c r="AQ164" s="12"/>
      <c r="AR164" s="12" t="s">
        <v>1809</v>
      </c>
      <c r="AS164" s="12" t="s">
        <v>1852</v>
      </c>
      <c r="AT164" s="12" t="s">
        <v>1850</v>
      </c>
      <c r="AU164" s="12"/>
      <c r="AV164" s="12" t="s">
        <v>1850</v>
      </c>
      <c r="AW164" s="12"/>
      <c r="AX164" s="12"/>
      <c r="AY164" s="12"/>
      <c r="AZ164" s="12"/>
      <c r="BA164" s="12"/>
      <c r="BB164" s="12"/>
      <c r="BC164" s="12"/>
      <c r="BD164" s="12"/>
      <c r="BE164" s="12" t="s">
        <v>1850</v>
      </c>
      <c r="BF164" s="12" t="s">
        <v>1809</v>
      </c>
      <c r="BG164" s="12"/>
      <c r="BH164" s="12"/>
      <c r="BI164" s="12"/>
      <c r="BJ164" s="12"/>
      <c r="BK164" s="12" t="s">
        <v>1809</v>
      </c>
      <c r="BL164" s="12"/>
      <c r="BM164" s="12" t="s">
        <v>1850</v>
      </c>
      <c r="BN164" s="12"/>
      <c r="BO164" s="12" t="s">
        <v>1809</v>
      </c>
      <c r="BP164" s="12"/>
      <c r="BQ164" s="12" t="s">
        <v>1809</v>
      </c>
      <c r="BR164" s="12"/>
      <c r="BS164" s="12"/>
      <c r="BT164" s="12" t="s">
        <v>1852</v>
      </c>
      <c r="BU164" s="12"/>
      <c r="BV164" s="12" t="s">
        <v>1809</v>
      </c>
      <c r="BW164" s="67"/>
      <c r="BX164" s="67"/>
      <c r="BY164" s="67"/>
      <c r="BZ164" s="67" t="s">
        <v>1852</v>
      </c>
      <c r="CA164" s="67" t="s">
        <v>1852</v>
      </c>
      <c r="CB164" s="67"/>
      <c r="CC164" s="67" t="s">
        <v>1852</v>
      </c>
      <c r="CD164" s="67" t="s">
        <v>1844</v>
      </c>
      <c r="CE164" s="67" t="s">
        <v>1844</v>
      </c>
      <c r="CF164" s="67" t="s">
        <v>1828</v>
      </c>
      <c r="CG164" s="67" t="s">
        <v>1852</v>
      </c>
      <c r="CH164" s="67" t="s">
        <v>1852</v>
      </c>
      <c r="CI164" s="67" t="s">
        <v>1852</v>
      </c>
      <c r="CJ164" s="67"/>
      <c r="CK164" s="67"/>
      <c r="CL164" s="67" t="s">
        <v>1850</v>
      </c>
      <c r="CM164" s="67" t="s">
        <v>1847</v>
      </c>
      <c r="CN164" s="67" t="s">
        <v>1852</v>
      </c>
      <c r="CO164" s="67" t="s">
        <v>1809</v>
      </c>
      <c r="CP164" s="67"/>
      <c r="CQ164" s="67"/>
      <c r="CR164" s="67"/>
      <c r="CS164" s="67"/>
      <c r="CT164" s="67"/>
      <c r="CU164" s="67"/>
      <c r="CV164" s="67"/>
      <c r="CW164" s="67"/>
      <c r="CX164" s="67"/>
      <c r="CY164" s="67"/>
      <c r="CZ164" s="67"/>
      <c r="DA164" s="67"/>
      <c r="DB164" s="67"/>
      <c r="DC164" s="67"/>
      <c r="DD164" s="67"/>
      <c r="DE164" s="67"/>
      <c r="DF164" s="67"/>
      <c r="DG164" s="67"/>
      <c r="DH164" s="67"/>
      <c r="DI164" s="67"/>
      <c r="DJ164" s="67"/>
      <c r="DK164" s="67"/>
      <c r="DL164" s="67"/>
      <c r="DM164" s="67"/>
      <c r="DN164" s="67"/>
      <c r="DO164" s="67"/>
      <c r="DP164" s="67"/>
      <c r="DQ164" s="67"/>
      <c r="DR164" s="67"/>
      <c r="DS164" s="67" t="s">
        <v>1844</v>
      </c>
      <c r="DT164" s="67"/>
      <c r="DU164" s="67" t="s">
        <v>1818</v>
      </c>
      <c r="DV164" s="67"/>
      <c r="DW164" s="67"/>
      <c r="DX164" s="67"/>
      <c r="DY164" s="67" t="s">
        <v>1821</v>
      </c>
      <c r="DZ164" s="67"/>
      <c r="EA164" s="67"/>
      <c r="EB164" s="67" t="s">
        <v>5559</v>
      </c>
      <c r="EC164" s="67"/>
      <c r="ED164" s="67"/>
      <c r="EE164" s="67"/>
      <c r="EF164" s="67"/>
      <c r="EG164" s="67"/>
      <c r="EH164" s="67">
        <v>15</v>
      </c>
    </row>
    <row r="165" spans="36:138" x14ac:dyDescent="0.2">
      <c r="AJ165" s="12"/>
      <c r="AK165" s="12" t="s">
        <v>724</v>
      </c>
      <c r="AL165" s="12"/>
      <c r="AM165" s="12"/>
      <c r="AN165" s="12"/>
      <c r="AO165" s="12"/>
      <c r="AP165" s="12"/>
      <c r="AQ165" s="12"/>
      <c r="AR165" s="12" t="s">
        <v>1843</v>
      </c>
      <c r="AS165" s="12"/>
      <c r="AT165" s="12" t="s">
        <v>1852</v>
      </c>
      <c r="AU165" s="12"/>
      <c r="AV165" s="12" t="s">
        <v>1829</v>
      </c>
      <c r="AW165" s="12"/>
      <c r="AX165" s="12"/>
      <c r="AY165" s="12"/>
      <c r="AZ165" s="12"/>
      <c r="BA165" s="12"/>
      <c r="BB165" s="12"/>
      <c r="BC165" s="12"/>
      <c r="BD165" s="12"/>
      <c r="BE165" s="12"/>
      <c r="BF165" s="12" t="s">
        <v>1843</v>
      </c>
      <c r="BG165" s="12"/>
      <c r="BH165" s="12"/>
      <c r="BI165" s="12"/>
      <c r="BJ165" s="12"/>
      <c r="BK165" s="12" t="s">
        <v>1844</v>
      </c>
      <c r="BL165" s="12"/>
      <c r="BM165" s="12"/>
      <c r="BN165" s="12"/>
      <c r="BO165" s="12" t="s">
        <v>1843</v>
      </c>
      <c r="BP165" s="12"/>
      <c r="BQ165" s="12" t="s">
        <v>1844</v>
      </c>
      <c r="BR165" s="12"/>
      <c r="BS165" s="12"/>
      <c r="BT165" s="12" t="s">
        <v>1846</v>
      </c>
      <c r="BU165" s="12"/>
      <c r="BV165" s="12" t="s">
        <v>1844</v>
      </c>
      <c r="BW165" s="67"/>
      <c r="BX165" s="67"/>
      <c r="BY165" s="67"/>
      <c r="BZ165" s="67" t="s">
        <v>1846</v>
      </c>
      <c r="CA165" s="67" t="s">
        <v>1846</v>
      </c>
      <c r="CB165" s="67"/>
      <c r="CC165" s="67" t="s">
        <v>1846</v>
      </c>
      <c r="CD165" s="67" t="s">
        <v>1874</v>
      </c>
      <c r="CE165" s="67" t="s">
        <v>1874</v>
      </c>
      <c r="CF165" s="67" t="s">
        <v>1807</v>
      </c>
      <c r="CG165" s="67" t="s">
        <v>1846</v>
      </c>
      <c r="CH165" s="67" t="s">
        <v>1846</v>
      </c>
      <c r="CI165" s="67" t="s">
        <v>1846</v>
      </c>
      <c r="CJ165" s="67"/>
      <c r="CK165" s="67"/>
      <c r="CL165" s="67" t="s">
        <v>1852</v>
      </c>
      <c r="CM165" s="67" t="s">
        <v>1850</v>
      </c>
      <c r="CN165" s="67"/>
      <c r="CO165" s="67" t="s">
        <v>1843</v>
      </c>
      <c r="CP165" s="67"/>
      <c r="CQ165" s="67"/>
      <c r="CR165" s="67"/>
      <c r="CS165" s="67"/>
      <c r="CT165" s="67"/>
      <c r="CU165" s="67"/>
      <c r="CV165" s="67"/>
      <c r="CW165" s="67"/>
      <c r="CX165" s="67"/>
      <c r="CY165" s="67"/>
      <c r="CZ165" s="67"/>
      <c r="DA165" s="67"/>
      <c r="DB165" s="67"/>
      <c r="DC165" s="67"/>
      <c r="DD165" s="67"/>
      <c r="DE165" s="67"/>
      <c r="DF165" s="67"/>
      <c r="DG165" s="67"/>
      <c r="DH165" s="67"/>
      <c r="DI165" s="67"/>
      <c r="DJ165" s="67"/>
      <c r="DK165" s="67"/>
      <c r="DL165" s="67"/>
      <c r="DM165" s="67"/>
      <c r="DN165" s="67"/>
      <c r="DO165" s="67"/>
      <c r="DP165" s="67"/>
      <c r="DQ165" s="67"/>
      <c r="DR165" s="67"/>
      <c r="DS165" s="67" t="s">
        <v>1874</v>
      </c>
      <c r="DT165" s="67"/>
      <c r="DU165" s="67" t="s">
        <v>1798</v>
      </c>
      <c r="DV165" s="67"/>
      <c r="DW165" s="67"/>
      <c r="DX165" s="67"/>
      <c r="DY165" s="67"/>
      <c r="DZ165" s="67"/>
      <c r="EA165" s="67"/>
      <c r="EB165" s="67" t="s">
        <v>1828</v>
      </c>
      <c r="EC165" s="67"/>
      <c r="ED165" s="67"/>
      <c r="EE165" s="67"/>
      <c r="EF165" s="67"/>
      <c r="EG165" s="67"/>
      <c r="EH165" s="67">
        <v>16</v>
      </c>
    </row>
    <row r="166" spans="36:138" x14ac:dyDescent="0.2">
      <c r="AJ166" s="12"/>
      <c r="AK166" s="12"/>
      <c r="AL166" s="12"/>
      <c r="AM166" s="12"/>
      <c r="AN166" s="12"/>
      <c r="AO166" s="12"/>
      <c r="AP166" s="12"/>
      <c r="AQ166" s="12"/>
      <c r="AR166" s="12" t="s">
        <v>1847</v>
      </c>
      <c r="AS166" s="12"/>
      <c r="AT166" s="12"/>
      <c r="AU166" s="12"/>
      <c r="AV166" s="12" t="s">
        <v>1808</v>
      </c>
      <c r="AW166" s="12"/>
      <c r="AX166" s="12"/>
      <c r="AY166" s="12"/>
      <c r="AZ166" s="12"/>
      <c r="BA166" s="12"/>
      <c r="BB166" s="12"/>
      <c r="BC166" s="12"/>
      <c r="BD166" s="12"/>
      <c r="BE166" s="12"/>
      <c r="BF166" s="12" t="s">
        <v>1847</v>
      </c>
      <c r="BG166" s="12"/>
      <c r="BH166" s="12"/>
      <c r="BI166" s="12"/>
      <c r="BJ166" s="12"/>
      <c r="BK166" s="12" t="s">
        <v>1843</v>
      </c>
      <c r="BL166" s="12"/>
      <c r="BM166" s="12"/>
      <c r="BN166" s="12"/>
      <c r="BO166" s="12" t="s">
        <v>1847</v>
      </c>
      <c r="BP166" s="12"/>
      <c r="BQ166" s="12" t="s">
        <v>1843</v>
      </c>
      <c r="BR166" s="12"/>
      <c r="BS166" s="12"/>
      <c r="BT166" s="12" t="s">
        <v>1847</v>
      </c>
      <c r="BU166" s="12"/>
      <c r="BV166" s="12" t="s">
        <v>1843</v>
      </c>
      <c r="BW166" s="67"/>
      <c r="BX166" s="67"/>
      <c r="BY166" s="67"/>
      <c r="BZ166" s="67" t="s">
        <v>1847</v>
      </c>
      <c r="CA166" s="67" t="s">
        <v>1847</v>
      </c>
      <c r="CB166" s="67"/>
      <c r="CC166" s="67" t="s">
        <v>1847</v>
      </c>
      <c r="CD166" s="67" t="s">
        <v>1843</v>
      </c>
      <c r="CE166" s="67" t="s">
        <v>1843</v>
      </c>
      <c r="CF166" s="67" t="s">
        <v>1809</v>
      </c>
      <c r="CG166" s="67" t="s">
        <v>1847</v>
      </c>
      <c r="CH166" s="67" t="s">
        <v>1847</v>
      </c>
      <c r="CI166" s="67" t="s">
        <v>1847</v>
      </c>
      <c r="CJ166" s="67"/>
      <c r="CK166" s="67"/>
      <c r="CL166" s="67"/>
      <c r="CM166" s="67" t="s">
        <v>1829</v>
      </c>
      <c r="CN166" s="67"/>
      <c r="CO166" s="67" t="s">
        <v>1847</v>
      </c>
      <c r="CP166" s="67"/>
      <c r="CQ166" s="67"/>
      <c r="CR166" s="67"/>
      <c r="CS166" s="67"/>
      <c r="CT166" s="67"/>
      <c r="CU166" s="67"/>
      <c r="CV166" s="67"/>
      <c r="CW166" s="67"/>
      <c r="CX166" s="67"/>
      <c r="CY166" s="67"/>
      <c r="CZ166" s="67"/>
      <c r="DA166" s="67"/>
      <c r="DB166" s="67"/>
      <c r="DC166" s="67"/>
      <c r="DD166" s="67"/>
      <c r="DE166" s="67"/>
      <c r="DF166" s="67"/>
      <c r="DG166" s="67"/>
      <c r="DH166" s="67"/>
      <c r="DI166" s="67"/>
      <c r="DJ166" s="67"/>
      <c r="DK166" s="67"/>
      <c r="DL166" s="67"/>
      <c r="DM166" s="67"/>
      <c r="DN166" s="67"/>
      <c r="DO166" s="67"/>
      <c r="DP166" s="67"/>
      <c r="DQ166" s="67"/>
      <c r="DR166" s="67"/>
      <c r="DS166" s="67" t="s">
        <v>1843</v>
      </c>
      <c r="DT166" s="67"/>
      <c r="DU166" s="67" t="s">
        <v>1833</v>
      </c>
      <c r="DV166" s="67"/>
      <c r="DW166" s="67"/>
      <c r="DX166" s="67"/>
      <c r="DY166" s="67"/>
      <c r="DZ166" s="67"/>
      <c r="EA166" s="67"/>
      <c r="EB166" s="67" t="s">
        <v>1812</v>
      </c>
      <c r="EC166" s="67"/>
      <c r="ED166" s="67"/>
      <c r="EE166" s="67"/>
      <c r="EF166" s="67"/>
      <c r="EG166" s="67"/>
      <c r="EH166" s="67">
        <v>17</v>
      </c>
    </row>
    <row r="167" spans="36:138" x14ac:dyDescent="0.2">
      <c r="AJ167" s="12"/>
      <c r="AK167" s="12"/>
      <c r="AL167" s="12"/>
      <c r="AM167" s="12"/>
      <c r="AN167" s="12"/>
      <c r="AO167" s="12"/>
      <c r="AP167" s="12"/>
      <c r="AQ167" s="12"/>
      <c r="AR167" s="12" t="s">
        <v>1850</v>
      </c>
      <c r="AS167" s="12"/>
      <c r="AT167" s="12"/>
      <c r="AU167" s="12"/>
      <c r="AV167" s="12" t="s">
        <v>1878</v>
      </c>
      <c r="AW167" s="12"/>
      <c r="AX167" s="12"/>
      <c r="AY167" s="12"/>
      <c r="AZ167" s="12"/>
      <c r="BA167" s="12"/>
      <c r="BB167" s="12"/>
      <c r="BC167" s="12"/>
      <c r="BD167" s="12"/>
      <c r="BE167" s="12"/>
      <c r="BF167" s="12" t="s">
        <v>1850</v>
      </c>
      <c r="BG167" s="12"/>
      <c r="BH167" s="12"/>
      <c r="BI167" s="12"/>
      <c r="BJ167" s="12"/>
      <c r="BK167" s="12" t="s">
        <v>1800</v>
      </c>
      <c r="BL167" s="12"/>
      <c r="BM167" s="12"/>
      <c r="BN167" s="12"/>
      <c r="BO167" s="12" t="s">
        <v>1850</v>
      </c>
      <c r="BP167" s="12"/>
      <c r="BQ167" s="12" t="s">
        <v>1800</v>
      </c>
      <c r="BR167" s="12"/>
      <c r="BS167" s="12"/>
      <c r="BT167" s="12" t="s">
        <v>1850</v>
      </c>
      <c r="BU167" s="12"/>
      <c r="BV167" s="12" t="s">
        <v>1800</v>
      </c>
      <c r="BW167" s="67"/>
      <c r="BX167" s="67"/>
      <c r="BY167" s="67"/>
      <c r="BZ167" s="67" t="s">
        <v>1850</v>
      </c>
      <c r="CA167" s="67" t="s">
        <v>1850</v>
      </c>
      <c r="CB167" s="67"/>
      <c r="CC167" s="67" t="s">
        <v>1850</v>
      </c>
      <c r="CD167" s="67" t="s">
        <v>1800</v>
      </c>
      <c r="CE167" s="67" t="s">
        <v>1800</v>
      </c>
      <c r="CF167" s="67" t="s">
        <v>1844</v>
      </c>
      <c r="CG167" s="67" t="s">
        <v>1850</v>
      </c>
      <c r="CH167" s="67" t="s">
        <v>1850</v>
      </c>
      <c r="CI167" s="67" t="s">
        <v>1850</v>
      </c>
      <c r="CJ167" s="67"/>
      <c r="CK167" s="67"/>
      <c r="CL167" s="67"/>
      <c r="CM167" s="67" t="s">
        <v>1808</v>
      </c>
      <c r="CN167" s="67"/>
      <c r="CO167" s="67" t="s">
        <v>1850</v>
      </c>
      <c r="CP167" s="67"/>
      <c r="CQ167" s="67"/>
      <c r="CR167" s="67"/>
      <c r="CS167" s="67"/>
      <c r="CT167" s="67"/>
      <c r="CU167" s="67"/>
      <c r="CV167" s="67"/>
      <c r="CW167" s="67"/>
      <c r="CX167" s="67"/>
      <c r="CY167" s="67"/>
      <c r="CZ167" s="67"/>
      <c r="DA167" s="67"/>
      <c r="DB167" s="67"/>
      <c r="DC167" s="67"/>
      <c r="DD167" s="67"/>
      <c r="DE167" s="67"/>
      <c r="DF167" s="67"/>
      <c r="DG167" s="67"/>
      <c r="DH167" s="67"/>
      <c r="DI167" s="67"/>
      <c r="DJ167" s="67"/>
      <c r="DK167" s="67"/>
      <c r="DL167" s="67"/>
      <c r="DM167" s="67"/>
      <c r="DN167" s="67"/>
      <c r="DO167" s="67"/>
      <c r="DP167" s="67"/>
      <c r="DQ167" s="67"/>
      <c r="DR167" s="67"/>
      <c r="DS167" s="67" t="s">
        <v>1821</v>
      </c>
      <c r="DT167" s="67"/>
      <c r="DU167" s="67" t="s">
        <v>1832</v>
      </c>
      <c r="DV167" s="67"/>
      <c r="DW167" s="67"/>
      <c r="DX167" s="67"/>
      <c r="DY167" s="67"/>
      <c r="DZ167" s="67"/>
      <c r="EA167" s="67"/>
      <c r="EB167" s="67" t="s">
        <v>1821</v>
      </c>
      <c r="EC167" s="67"/>
      <c r="ED167" s="67"/>
      <c r="EE167" s="67"/>
      <c r="EF167" s="67"/>
      <c r="EG167" s="67"/>
      <c r="EH167" s="67">
        <v>18</v>
      </c>
    </row>
    <row r="168" spans="36:138" x14ac:dyDescent="0.2">
      <c r="AJ168" s="12"/>
      <c r="AK168" s="12"/>
      <c r="AL168" s="12"/>
      <c r="AM168" s="12"/>
      <c r="AN168" s="12"/>
      <c r="AO168" s="12"/>
      <c r="AP168" s="12"/>
      <c r="AQ168" s="12"/>
      <c r="AR168" s="12" t="s">
        <v>1845</v>
      </c>
      <c r="AS168" s="12"/>
      <c r="AT168" s="12"/>
      <c r="AU168" s="12"/>
      <c r="AV168" s="12" t="s">
        <v>1880</v>
      </c>
      <c r="AW168" s="12"/>
      <c r="AX168" s="12"/>
      <c r="AY168" s="12"/>
      <c r="AZ168" s="12"/>
      <c r="BA168" s="12"/>
      <c r="BB168" s="12"/>
      <c r="BC168" s="12"/>
      <c r="BD168" s="12"/>
      <c r="BE168" s="12"/>
      <c r="BF168" s="12" t="s">
        <v>1845</v>
      </c>
      <c r="BG168" s="12"/>
      <c r="BH168" s="12"/>
      <c r="BI168" s="12"/>
      <c r="BJ168" s="12"/>
      <c r="BK168" s="12" t="s">
        <v>1847</v>
      </c>
      <c r="BL168" s="12"/>
      <c r="BM168" s="12"/>
      <c r="BN168" s="12"/>
      <c r="BO168" s="12" t="s">
        <v>1845</v>
      </c>
      <c r="BP168" s="12"/>
      <c r="BQ168" s="12" t="s">
        <v>1847</v>
      </c>
      <c r="BR168" s="12"/>
      <c r="BS168" s="12"/>
      <c r="BT168" s="12"/>
      <c r="BU168" s="12"/>
      <c r="BV168" s="12" t="s">
        <v>1847</v>
      </c>
      <c r="BW168" s="67"/>
      <c r="BX168" s="67"/>
      <c r="BY168" s="67"/>
      <c r="BZ168" s="67"/>
      <c r="CA168" s="67"/>
      <c r="CB168" s="67"/>
      <c r="CC168" s="67"/>
      <c r="CD168" s="67" t="s">
        <v>724</v>
      </c>
      <c r="CE168" s="67" t="s">
        <v>724</v>
      </c>
      <c r="CF168" s="67" t="s">
        <v>1878</v>
      </c>
      <c r="CG168" s="67"/>
      <c r="CH168" s="67"/>
      <c r="CI168" s="67"/>
      <c r="CJ168" s="67"/>
      <c r="CK168" s="67"/>
      <c r="CL168" s="67"/>
      <c r="CM168" s="67" t="s">
        <v>1878</v>
      </c>
      <c r="CN168" s="67"/>
      <c r="CO168" s="67" t="s">
        <v>1845</v>
      </c>
      <c r="CP168" s="67"/>
      <c r="CQ168" s="67"/>
      <c r="CR168" s="67"/>
      <c r="CS168" s="67"/>
      <c r="CT168" s="67"/>
      <c r="CU168" s="67"/>
      <c r="CV168" s="67"/>
      <c r="CW168" s="67"/>
      <c r="CX168" s="67"/>
      <c r="CY168" s="67"/>
      <c r="CZ168" s="67"/>
      <c r="DA168" s="67"/>
      <c r="DB168" s="67"/>
      <c r="DC168" s="67"/>
      <c r="DD168" s="67"/>
      <c r="DE168" s="67"/>
      <c r="DF168" s="67"/>
      <c r="DG168" s="67"/>
      <c r="DH168" s="67"/>
      <c r="DI168" s="67"/>
      <c r="DJ168" s="67"/>
      <c r="DK168" s="67"/>
      <c r="DL168" s="67"/>
      <c r="DM168" s="67"/>
      <c r="DN168" s="67"/>
      <c r="DO168" s="67"/>
      <c r="DP168" s="67"/>
      <c r="DQ168" s="67"/>
      <c r="DR168" s="67"/>
      <c r="DS168" s="67" t="s">
        <v>724</v>
      </c>
      <c r="DT168" s="67"/>
      <c r="DU168" s="67" t="s">
        <v>1827</v>
      </c>
      <c r="DV168" s="67"/>
      <c r="DW168" s="67"/>
      <c r="DX168" s="67"/>
      <c r="DY168" s="67"/>
      <c r="DZ168" s="67"/>
      <c r="EA168" s="67"/>
      <c r="EB168" s="67" t="s">
        <v>1843</v>
      </c>
      <c r="EC168" s="67"/>
      <c r="ED168" s="67"/>
      <c r="EE168" s="67"/>
      <c r="EF168" s="67"/>
      <c r="EG168" s="67"/>
      <c r="EH168" s="67">
        <v>19</v>
      </c>
    </row>
    <row r="169" spans="36:138" x14ac:dyDescent="0.2">
      <c r="AJ169" s="12"/>
      <c r="AK169" s="12"/>
      <c r="AL169" s="12"/>
      <c r="AM169" s="12"/>
      <c r="AN169" s="12"/>
      <c r="AO169" s="12"/>
      <c r="AP169" s="12"/>
      <c r="AQ169" s="12"/>
      <c r="AR169" s="12" t="s">
        <v>1827</v>
      </c>
      <c r="AS169" s="12"/>
      <c r="AT169" s="12"/>
      <c r="AU169" s="12"/>
      <c r="AV169" s="12"/>
      <c r="AW169" s="12"/>
      <c r="AX169" s="12"/>
      <c r="AY169" s="12"/>
      <c r="AZ169" s="12"/>
      <c r="BA169" s="12"/>
      <c r="BB169" s="12"/>
      <c r="BC169" s="12"/>
      <c r="BD169" s="12"/>
      <c r="BE169" s="12"/>
      <c r="BF169" s="12" t="s">
        <v>1827</v>
      </c>
      <c r="BG169" s="12"/>
      <c r="BH169" s="12"/>
      <c r="BI169" s="12"/>
      <c r="BJ169" s="12"/>
      <c r="BK169" s="12" t="s">
        <v>1808</v>
      </c>
      <c r="BL169" s="12"/>
      <c r="BM169" s="12"/>
      <c r="BN169" s="12"/>
      <c r="BO169" s="12" t="s">
        <v>1827</v>
      </c>
      <c r="BP169" s="12"/>
      <c r="BQ169" s="12" t="s">
        <v>1808</v>
      </c>
      <c r="BR169" s="12"/>
      <c r="BS169" s="12"/>
      <c r="BT169" s="12"/>
      <c r="BU169" s="12"/>
      <c r="BV169" s="12" t="s">
        <v>1808</v>
      </c>
      <c r="BW169" s="67"/>
      <c r="BX169" s="67"/>
      <c r="BY169" s="67"/>
      <c r="BZ169" s="67"/>
      <c r="CA169" s="67"/>
      <c r="CB169" s="67"/>
      <c r="CC169" s="67"/>
      <c r="CD169" s="67" t="s">
        <v>1851</v>
      </c>
      <c r="CE169" s="67" t="s">
        <v>1851</v>
      </c>
      <c r="CF169" s="67" t="s">
        <v>1874</v>
      </c>
      <c r="CG169" s="67"/>
      <c r="CH169" s="67"/>
      <c r="CI169" s="67"/>
      <c r="CJ169" s="67"/>
      <c r="CK169" s="67"/>
      <c r="CL169" s="67"/>
      <c r="CM169" s="67" t="s">
        <v>1880</v>
      </c>
      <c r="CN169" s="67"/>
      <c r="CO169" s="67" t="s">
        <v>1827</v>
      </c>
      <c r="CP169" s="67"/>
      <c r="CQ169" s="67"/>
      <c r="CR169" s="67"/>
      <c r="CS169" s="67"/>
      <c r="CT169" s="67"/>
      <c r="CU169" s="67"/>
      <c r="CV169" s="67"/>
      <c r="CW169" s="67"/>
      <c r="CX169" s="67"/>
      <c r="CY169" s="67"/>
      <c r="CZ169" s="67"/>
      <c r="DA169" s="67"/>
      <c r="DB169" s="67"/>
      <c r="DC169" s="67"/>
      <c r="DD169" s="67"/>
      <c r="DE169" s="67"/>
      <c r="DF169" s="67"/>
      <c r="DG169" s="67"/>
      <c r="DH169" s="67"/>
      <c r="DI169" s="67"/>
      <c r="DJ169" s="67"/>
      <c r="DK169" s="67"/>
      <c r="DL169" s="67"/>
      <c r="DM169" s="67"/>
      <c r="DN169" s="67"/>
      <c r="DO169" s="67"/>
      <c r="DP169" s="67"/>
      <c r="DQ169" s="67"/>
      <c r="DR169" s="67"/>
      <c r="DS169" s="67" t="s">
        <v>1851</v>
      </c>
      <c r="DT169" s="67"/>
      <c r="DU169" s="67" t="s">
        <v>1800</v>
      </c>
      <c r="DV169" s="67"/>
      <c r="DW169" s="67"/>
      <c r="DX169" s="67"/>
      <c r="DY169" s="67"/>
      <c r="DZ169" s="67"/>
      <c r="EA169" s="67"/>
      <c r="EB169" s="67"/>
      <c r="EC169" s="67"/>
      <c r="ED169" s="67"/>
      <c r="EE169" s="67"/>
      <c r="EF169" s="67"/>
      <c r="EG169" s="67"/>
      <c r="EH169" s="67">
        <v>20</v>
      </c>
    </row>
    <row r="170" spans="36:138" x14ac:dyDescent="0.2">
      <c r="AJ170" s="12"/>
      <c r="AK170" s="12"/>
      <c r="AL170" s="12"/>
      <c r="AM170" s="12"/>
      <c r="AN170" s="12"/>
      <c r="AO170" s="12"/>
      <c r="AP170" s="12"/>
      <c r="AQ170" s="12"/>
      <c r="AR170" s="12" t="s">
        <v>1852</v>
      </c>
      <c r="AS170" s="12"/>
      <c r="AT170" s="12"/>
      <c r="AU170" s="12"/>
      <c r="AV170" s="12"/>
      <c r="AW170" s="12"/>
      <c r="AX170" s="12"/>
      <c r="AY170" s="12"/>
      <c r="AZ170" s="12"/>
      <c r="BA170" s="12"/>
      <c r="BB170" s="12"/>
      <c r="BC170" s="12"/>
      <c r="BD170" s="12"/>
      <c r="BE170" s="12"/>
      <c r="BF170" s="12" t="s">
        <v>1852</v>
      </c>
      <c r="BG170" s="12"/>
      <c r="BH170" s="12"/>
      <c r="BI170" s="12"/>
      <c r="BJ170" s="12"/>
      <c r="BK170" s="12" t="s">
        <v>724</v>
      </c>
      <c r="BL170" s="12"/>
      <c r="BM170" s="12"/>
      <c r="BN170" s="12"/>
      <c r="BO170" s="12" t="s">
        <v>1852</v>
      </c>
      <c r="BP170" s="12"/>
      <c r="BQ170" s="12" t="s">
        <v>724</v>
      </c>
      <c r="BR170" s="12"/>
      <c r="BS170" s="12"/>
      <c r="BT170" s="12"/>
      <c r="BU170" s="12"/>
      <c r="BV170" s="12" t="s">
        <v>724</v>
      </c>
      <c r="BW170" s="67"/>
      <c r="BX170" s="67"/>
      <c r="BY170" s="67"/>
      <c r="BZ170" s="67"/>
      <c r="CA170" s="67"/>
      <c r="CB170" s="67"/>
      <c r="CC170" s="67"/>
      <c r="CD170" s="67"/>
      <c r="CE170" s="67"/>
      <c r="CF170" s="67" t="s">
        <v>1882</v>
      </c>
      <c r="CG170" s="67"/>
      <c r="CH170" s="67"/>
      <c r="CI170" s="67"/>
      <c r="CJ170" s="67"/>
      <c r="CK170" s="67"/>
      <c r="CL170" s="67"/>
      <c r="CM170" s="67"/>
      <c r="CN170" s="67"/>
      <c r="CO170" s="67" t="s">
        <v>1852</v>
      </c>
      <c r="CP170" s="67"/>
      <c r="CQ170" s="67"/>
      <c r="CR170" s="67"/>
      <c r="CS170" s="67"/>
      <c r="CT170" s="67"/>
      <c r="CU170" s="67"/>
      <c r="CV170" s="67"/>
      <c r="CW170" s="67"/>
      <c r="CX170" s="67"/>
      <c r="CY170" s="67"/>
      <c r="CZ170" s="67"/>
      <c r="DA170" s="67"/>
      <c r="DB170" s="67"/>
      <c r="DC170" s="67"/>
      <c r="DD170" s="67"/>
      <c r="DE170" s="67"/>
      <c r="DF170" s="67"/>
      <c r="DG170" s="67"/>
      <c r="DH170" s="67"/>
      <c r="DI170" s="67"/>
      <c r="DJ170" s="67"/>
      <c r="DK170" s="67"/>
      <c r="DL170" s="67"/>
      <c r="DM170" s="67"/>
      <c r="DN170" s="67"/>
      <c r="DO170" s="67"/>
      <c r="DP170" s="67"/>
      <c r="DQ170" s="67"/>
      <c r="DR170" s="67"/>
      <c r="DS170" s="67"/>
      <c r="DT170" s="67"/>
      <c r="DU170" s="67"/>
      <c r="DV170" s="67"/>
      <c r="DW170" s="67"/>
      <c r="DX170" s="67"/>
      <c r="DY170" s="67"/>
      <c r="DZ170" s="67"/>
      <c r="EA170" s="67"/>
      <c r="EB170" s="67"/>
      <c r="EC170" s="67"/>
      <c r="ED170" s="67"/>
      <c r="EE170" s="67"/>
      <c r="EF170" s="67"/>
      <c r="EG170" s="67"/>
      <c r="EH170" s="67">
        <v>21</v>
      </c>
    </row>
    <row r="171" spans="36:138" x14ac:dyDescent="0.2">
      <c r="AJ171" s="12"/>
      <c r="AK171" s="12"/>
      <c r="AL171" s="12"/>
      <c r="AM171" s="12"/>
      <c r="AN171" s="12"/>
      <c r="AO171" s="12"/>
      <c r="AP171" s="12"/>
      <c r="AQ171" s="12"/>
      <c r="AR171" s="12"/>
      <c r="AS171" s="12"/>
      <c r="AT171" s="12"/>
      <c r="AU171" s="12"/>
      <c r="AV171" s="12"/>
      <c r="AW171" s="12"/>
      <c r="AX171" s="12"/>
      <c r="AY171" s="12"/>
      <c r="AZ171" s="12"/>
      <c r="BA171" s="12"/>
      <c r="BB171" s="12"/>
      <c r="BC171" s="12"/>
      <c r="BD171" s="12"/>
      <c r="BE171" s="12"/>
      <c r="BF171" s="12"/>
      <c r="BG171" s="12"/>
      <c r="BH171" s="12"/>
      <c r="BI171" s="12"/>
      <c r="BJ171" s="12"/>
      <c r="BK171" s="12" t="s">
        <v>1837</v>
      </c>
      <c r="BL171" s="12"/>
      <c r="BM171" s="12"/>
      <c r="BN171" s="12"/>
      <c r="BO171" s="12"/>
      <c r="BP171" s="12"/>
      <c r="BQ171" s="12" t="s">
        <v>1837</v>
      </c>
      <c r="BR171" s="12"/>
      <c r="BS171" s="12"/>
      <c r="BT171" s="12"/>
      <c r="BU171" s="12"/>
      <c r="BV171" s="12" t="s">
        <v>1837</v>
      </c>
      <c r="BW171" s="67"/>
      <c r="BX171" s="67"/>
      <c r="BY171" s="67"/>
      <c r="BZ171" s="67"/>
      <c r="CA171" s="67"/>
      <c r="CB171" s="67"/>
      <c r="CC171" s="67"/>
      <c r="CD171" s="67"/>
      <c r="CE171" s="67"/>
      <c r="CF171" s="67" t="s">
        <v>1843</v>
      </c>
      <c r="CG171" s="67"/>
      <c r="CH171" s="67"/>
      <c r="CI171" s="67"/>
      <c r="CJ171" s="67"/>
      <c r="CK171" s="67"/>
      <c r="CL171" s="67"/>
      <c r="CM171" s="67"/>
      <c r="CN171" s="67"/>
      <c r="CO171" s="67" t="s">
        <v>1878</v>
      </c>
      <c r="CP171" s="67"/>
      <c r="CQ171" s="67"/>
      <c r="CR171" s="67"/>
      <c r="CS171" s="67"/>
      <c r="CT171" s="67"/>
      <c r="CU171" s="67"/>
      <c r="CV171" s="67"/>
      <c r="CW171" s="67"/>
      <c r="CX171" s="67"/>
      <c r="CY171" s="67"/>
      <c r="CZ171" s="67"/>
      <c r="DA171" s="67"/>
      <c r="DB171" s="67"/>
      <c r="DC171" s="67"/>
      <c r="DD171" s="67"/>
      <c r="DE171" s="67"/>
      <c r="DF171" s="67"/>
      <c r="DG171" s="67"/>
      <c r="DH171" s="67"/>
      <c r="DI171" s="67"/>
      <c r="DJ171" s="67"/>
      <c r="DK171" s="67"/>
      <c r="DL171" s="67"/>
      <c r="DM171" s="67"/>
      <c r="DN171" s="67"/>
      <c r="DO171" s="67"/>
      <c r="DP171" s="67"/>
      <c r="DQ171" s="67"/>
      <c r="DR171" s="67"/>
      <c r="DS171" s="67"/>
      <c r="DT171" s="67"/>
      <c r="DU171" s="67"/>
      <c r="DV171" s="67"/>
      <c r="DW171" s="67"/>
      <c r="DX171" s="67"/>
      <c r="DY171" s="67"/>
      <c r="DZ171" s="67"/>
      <c r="EA171" s="67"/>
      <c r="EB171" s="67"/>
      <c r="EC171" s="67"/>
      <c r="ED171" s="67"/>
      <c r="EE171" s="67"/>
      <c r="EF171" s="67"/>
      <c r="EG171" s="67"/>
      <c r="EH171" s="67">
        <v>22</v>
      </c>
    </row>
    <row r="172" spans="36:138" x14ac:dyDescent="0.2">
      <c r="AJ172" s="12"/>
      <c r="AK172" s="12"/>
      <c r="AL172" s="12"/>
      <c r="AM172" s="12"/>
      <c r="AN172" s="12"/>
      <c r="AO172" s="12"/>
      <c r="AP172" s="12"/>
      <c r="AQ172" s="12"/>
      <c r="AR172" s="12"/>
      <c r="AS172" s="12"/>
      <c r="AT172" s="12"/>
      <c r="AU172" s="12"/>
      <c r="AV172" s="12"/>
      <c r="AW172" s="12"/>
      <c r="AX172" s="12"/>
      <c r="AY172" s="12"/>
      <c r="AZ172" s="12"/>
      <c r="BA172" s="12"/>
      <c r="BB172" s="12"/>
      <c r="BC172" s="12"/>
      <c r="BD172" s="12"/>
      <c r="BE172" s="12"/>
      <c r="BF172" s="12"/>
      <c r="BG172" s="12"/>
      <c r="BH172" s="12"/>
      <c r="BI172" s="12"/>
      <c r="BJ172" s="12"/>
      <c r="BK172" s="12"/>
      <c r="BL172" s="12"/>
      <c r="BM172" s="12"/>
      <c r="BN172" s="12"/>
      <c r="BO172" s="12"/>
      <c r="BP172" s="12"/>
      <c r="BQ172" s="12"/>
      <c r="BR172" s="12"/>
      <c r="BS172" s="12"/>
      <c r="BT172" s="12"/>
      <c r="BU172" s="12"/>
      <c r="BV172" s="12"/>
      <c r="BW172" s="67"/>
      <c r="BX172" s="67"/>
      <c r="BY172" s="67"/>
      <c r="BZ172" s="67"/>
      <c r="CA172" s="67"/>
      <c r="CB172" s="67"/>
      <c r="CC172" s="67"/>
      <c r="CD172" s="67"/>
      <c r="CE172" s="67"/>
      <c r="CF172" s="67" t="s">
        <v>1800</v>
      </c>
      <c r="CG172" s="67"/>
      <c r="CH172" s="67"/>
      <c r="CI172" s="67"/>
      <c r="CJ172" s="67"/>
      <c r="CK172" s="67"/>
      <c r="CL172" s="67"/>
      <c r="CM172" s="67"/>
      <c r="CN172" s="67"/>
      <c r="CO172" s="67"/>
      <c r="CP172" s="67"/>
      <c r="CQ172" s="67"/>
      <c r="CR172" s="67"/>
      <c r="CS172" s="67"/>
      <c r="CT172" s="67"/>
      <c r="CU172" s="67"/>
      <c r="CV172" s="67"/>
      <c r="CW172" s="67"/>
      <c r="CX172" s="67"/>
      <c r="CY172" s="67"/>
      <c r="CZ172" s="67"/>
      <c r="DA172" s="67"/>
      <c r="DB172" s="67"/>
      <c r="DC172" s="67"/>
      <c r="DD172" s="67"/>
      <c r="DE172" s="67"/>
      <c r="DF172" s="67"/>
      <c r="DG172" s="67"/>
      <c r="DH172" s="67"/>
      <c r="DI172" s="67"/>
      <c r="DJ172" s="67"/>
      <c r="DK172" s="67"/>
      <c r="DL172" s="67"/>
      <c r="DM172" s="67"/>
      <c r="DN172" s="67"/>
      <c r="DO172" s="67"/>
      <c r="DP172" s="67"/>
      <c r="DQ172" s="67"/>
      <c r="DR172" s="67"/>
      <c r="DS172" s="67"/>
      <c r="DT172" s="67"/>
      <c r="DU172" s="67"/>
      <c r="DV172" s="67"/>
      <c r="DW172" s="67"/>
      <c r="DX172" s="67"/>
      <c r="DY172" s="67"/>
      <c r="DZ172" s="67"/>
      <c r="EA172" s="67"/>
      <c r="EB172" s="67"/>
      <c r="EC172" s="67"/>
      <c r="ED172" s="67"/>
      <c r="EE172" s="67"/>
      <c r="EF172" s="67"/>
      <c r="EG172" s="67"/>
      <c r="EH172" s="67">
        <v>23</v>
      </c>
    </row>
    <row r="173" spans="36:138" x14ac:dyDescent="0.2">
      <c r="AJ173" s="12"/>
      <c r="AK173" s="12"/>
      <c r="AL173" s="12"/>
      <c r="AM173" s="12"/>
      <c r="AN173" s="12"/>
      <c r="AO173" s="12"/>
      <c r="AP173" s="12"/>
      <c r="AQ173" s="12"/>
      <c r="AR173" s="12"/>
      <c r="AS173" s="12"/>
      <c r="AT173" s="12"/>
      <c r="AU173" s="12"/>
      <c r="AV173" s="12"/>
      <c r="AW173" s="12"/>
      <c r="AX173" s="12"/>
      <c r="AY173" s="12"/>
      <c r="AZ173" s="12"/>
      <c r="BA173" s="12"/>
      <c r="BB173" s="12"/>
      <c r="BC173" s="12"/>
      <c r="BD173" s="12"/>
      <c r="BE173" s="12"/>
      <c r="BF173" s="12"/>
      <c r="BG173" s="12"/>
      <c r="BH173" s="12"/>
      <c r="BI173" s="12"/>
      <c r="BJ173" s="12"/>
      <c r="BK173" s="12"/>
      <c r="BL173" s="12"/>
      <c r="BM173" s="12"/>
      <c r="BN173" s="12"/>
      <c r="BO173" s="12"/>
      <c r="BP173" s="12"/>
      <c r="BQ173" s="12"/>
      <c r="BR173" s="12"/>
      <c r="BS173" s="12"/>
      <c r="BT173" s="12"/>
      <c r="BU173" s="12"/>
      <c r="BV173" s="12"/>
      <c r="BW173" s="67"/>
      <c r="BX173" s="67"/>
      <c r="BY173" s="67"/>
      <c r="BZ173" s="67"/>
      <c r="CA173" s="67"/>
      <c r="CB173" s="67"/>
      <c r="CC173" s="67"/>
      <c r="CD173" s="67"/>
      <c r="CE173" s="67"/>
      <c r="CF173" s="67" t="s">
        <v>1847</v>
      </c>
      <c r="CG173" s="67"/>
      <c r="CH173" s="67"/>
      <c r="CI173" s="67"/>
      <c r="CJ173" s="67"/>
      <c r="CK173" s="67"/>
      <c r="CL173" s="67"/>
      <c r="CM173" s="67"/>
      <c r="CN173" s="67"/>
      <c r="CO173" s="67"/>
      <c r="CP173" s="67"/>
      <c r="CQ173" s="67"/>
      <c r="CR173" s="67"/>
      <c r="CS173" s="67"/>
      <c r="CT173" s="67"/>
      <c r="CU173" s="67"/>
      <c r="CV173" s="67"/>
      <c r="CW173" s="67"/>
      <c r="CX173" s="67"/>
      <c r="CY173" s="67"/>
      <c r="CZ173" s="67"/>
      <c r="DA173" s="67"/>
      <c r="DB173" s="67"/>
      <c r="DC173" s="67"/>
      <c r="DD173" s="67"/>
      <c r="DE173" s="67"/>
      <c r="DF173" s="67"/>
      <c r="DG173" s="67"/>
      <c r="DH173" s="67"/>
      <c r="DI173" s="67"/>
      <c r="DJ173" s="67"/>
      <c r="DK173" s="67"/>
      <c r="DL173" s="67"/>
      <c r="DM173" s="67"/>
      <c r="DN173" s="67"/>
      <c r="DO173" s="67"/>
      <c r="DP173" s="67"/>
      <c r="DQ173" s="67"/>
      <c r="DR173" s="67"/>
      <c r="DS173" s="67"/>
      <c r="DT173" s="67"/>
      <c r="DU173" s="67"/>
      <c r="DV173" s="67"/>
      <c r="DW173" s="67"/>
      <c r="DX173" s="67"/>
      <c r="DY173" s="67"/>
      <c r="DZ173" s="67"/>
      <c r="EA173" s="67"/>
      <c r="EB173" s="67"/>
      <c r="EC173" s="67"/>
      <c r="ED173" s="67"/>
      <c r="EE173" s="67"/>
      <c r="EF173" s="67"/>
      <c r="EG173" s="67"/>
      <c r="EH173" s="67">
        <v>24</v>
      </c>
    </row>
    <row r="174" spans="36:138" x14ac:dyDescent="0.2">
      <c r="AJ174" s="12"/>
      <c r="AK174" s="12"/>
      <c r="AL174" s="12"/>
      <c r="AM174" s="12"/>
      <c r="AN174" s="12"/>
      <c r="AO174" s="12"/>
      <c r="AP174" s="12"/>
      <c r="AQ174" s="12"/>
      <c r="AR174" s="12"/>
      <c r="AS174" s="12"/>
      <c r="AT174" s="12"/>
      <c r="AU174" s="12"/>
      <c r="AV174" s="12"/>
      <c r="AW174" s="12"/>
      <c r="AX174" s="12"/>
      <c r="AY174" s="12"/>
      <c r="AZ174" s="12"/>
      <c r="BA174" s="12"/>
      <c r="BB174" s="12"/>
      <c r="BC174" s="12"/>
      <c r="BD174" s="12"/>
      <c r="BE174" s="12"/>
      <c r="BF174" s="12"/>
      <c r="BG174" s="12"/>
      <c r="BH174" s="12"/>
      <c r="BI174" s="12"/>
      <c r="BJ174" s="12"/>
      <c r="BK174" s="12"/>
      <c r="BL174" s="12"/>
      <c r="BM174" s="12"/>
      <c r="BN174" s="12"/>
      <c r="BO174" s="12"/>
      <c r="BP174" s="12"/>
      <c r="BQ174" s="12"/>
      <c r="BR174" s="12"/>
      <c r="BS174" s="12"/>
      <c r="BT174" s="12"/>
      <c r="BU174" s="12"/>
      <c r="BV174" s="12"/>
      <c r="BW174" s="67"/>
      <c r="BX174" s="67"/>
      <c r="BY174" s="67"/>
      <c r="BZ174" s="67"/>
      <c r="CA174" s="67"/>
      <c r="CB174" s="67"/>
      <c r="CC174" s="67"/>
      <c r="CD174" s="67"/>
      <c r="CE174" s="67"/>
      <c r="CF174" s="67" t="s">
        <v>1808</v>
      </c>
      <c r="CG174" s="67"/>
      <c r="CH174" s="67"/>
      <c r="CI174" s="67"/>
      <c r="CJ174" s="67"/>
      <c r="CK174" s="67"/>
      <c r="CL174" s="67"/>
      <c r="CM174" s="67"/>
      <c r="CN174" s="67"/>
      <c r="CO174" s="67"/>
      <c r="CP174" s="67"/>
      <c r="CQ174" s="67"/>
      <c r="CR174" s="67"/>
      <c r="CS174" s="67"/>
      <c r="CT174" s="67"/>
      <c r="CU174" s="67"/>
      <c r="CV174" s="67"/>
      <c r="CW174" s="67"/>
      <c r="CX174" s="67"/>
      <c r="CY174" s="67"/>
      <c r="CZ174" s="67"/>
      <c r="DA174" s="67"/>
      <c r="DB174" s="67"/>
      <c r="DC174" s="67"/>
      <c r="DD174" s="67"/>
      <c r="DE174" s="67"/>
      <c r="DF174" s="67"/>
      <c r="DG174" s="67"/>
      <c r="DH174" s="67"/>
      <c r="DI174" s="67"/>
      <c r="DJ174" s="67"/>
      <c r="DK174" s="67"/>
      <c r="DL174" s="67"/>
      <c r="DM174" s="67"/>
      <c r="DN174" s="67"/>
      <c r="DO174" s="67"/>
      <c r="DP174" s="67"/>
      <c r="DQ174" s="67"/>
      <c r="DR174" s="67"/>
      <c r="DS174" s="67"/>
      <c r="DT174" s="67"/>
      <c r="DU174" s="67"/>
      <c r="DV174" s="67"/>
      <c r="DW174" s="67"/>
      <c r="DX174" s="67"/>
      <c r="DY174" s="67"/>
      <c r="DZ174" s="67"/>
      <c r="EA174" s="67"/>
      <c r="EB174" s="67"/>
      <c r="EC174" s="67"/>
      <c r="ED174" s="67"/>
      <c r="EE174" s="67"/>
      <c r="EF174" s="67"/>
      <c r="EG174" s="67"/>
      <c r="EH174" s="67">
        <v>25</v>
      </c>
    </row>
    <row r="175" spans="36:138" x14ac:dyDescent="0.2">
      <c r="AJ175" s="12"/>
      <c r="AK175" s="12"/>
      <c r="AL175" s="12"/>
      <c r="AM175" s="12"/>
      <c r="AN175" s="12"/>
      <c r="AO175" s="12"/>
      <c r="AP175" s="12"/>
      <c r="AQ175" s="12"/>
      <c r="AR175" s="12"/>
      <c r="AS175" s="12"/>
      <c r="AT175" s="12"/>
      <c r="AU175" s="12"/>
      <c r="AV175" s="12"/>
      <c r="AW175" s="12"/>
      <c r="AX175" s="12"/>
      <c r="AY175" s="12"/>
      <c r="AZ175" s="12"/>
      <c r="BA175" s="12"/>
      <c r="BB175" s="12"/>
      <c r="BC175" s="12"/>
      <c r="BD175" s="12"/>
      <c r="BE175" s="12"/>
      <c r="BF175" s="12"/>
      <c r="BG175" s="12"/>
      <c r="BH175" s="12"/>
      <c r="BI175" s="12"/>
      <c r="BJ175" s="12"/>
      <c r="BK175" s="12"/>
      <c r="BL175" s="12"/>
      <c r="BM175" s="12"/>
      <c r="BN175" s="12"/>
      <c r="BO175" s="12"/>
      <c r="BP175" s="12"/>
      <c r="BQ175" s="12"/>
      <c r="BR175" s="12"/>
      <c r="BS175" s="12"/>
      <c r="BT175" s="12"/>
      <c r="BU175" s="12"/>
      <c r="BV175" s="12"/>
      <c r="BW175" s="67"/>
      <c r="BX175" s="67"/>
      <c r="BY175" s="67"/>
      <c r="BZ175" s="67"/>
      <c r="CA175" s="67"/>
      <c r="CB175" s="67"/>
      <c r="CC175" s="67"/>
      <c r="CD175" s="67"/>
      <c r="CE175" s="67"/>
      <c r="CF175" s="67" t="s">
        <v>724</v>
      </c>
      <c r="CG175" s="67"/>
      <c r="CH175" s="67"/>
      <c r="CI175" s="67"/>
      <c r="CJ175" s="67"/>
      <c r="CK175" s="67"/>
      <c r="CL175" s="67"/>
      <c r="CM175" s="67"/>
      <c r="CN175" s="67"/>
      <c r="CO175" s="67"/>
      <c r="CP175" s="67"/>
      <c r="CQ175" s="67"/>
      <c r="CR175" s="67"/>
      <c r="CS175" s="67"/>
      <c r="CT175" s="67"/>
      <c r="CU175" s="67"/>
      <c r="CV175" s="67"/>
      <c r="CW175" s="67"/>
      <c r="CX175" s="67"/>
      <c r="CY175" s="67"/>
      <c r="CZ175" s="67"/>
      <c r="DA175" s="67"/>
      <c r="DB175" s="67"/>
      <c r="DC175" s="67"/>
      <c r="DD175" s="67"/>
      <c r="DE175" s="67"/>
      <c r="DF175" s="67"/>
      <c r="DG175" s="67"/>
      <c r="DH175" s="67"/>
      <c r="DI175" s="67"/>
      <c r="DJ175" s="67"/>
      <c r="DK175" s="67"/>
      <c r="DL175" s="67"/>
      <c r="DM175" s="67"/>
      <c r="DN175" s="67"/>
      <c r="DO175" s="67"/>
      <c r="DP175" s="67"/>
      <c r="DQ175" s="67"/>
      <c r="DR175" s="67"/>
      <c r="DS175" s="67"/>
      <c r="DT175" s="67"/>
      <c r="DU175" s="67"/>
      <c r="DV175" s="67"/>
      <c r="DW175" s="67"/>
      <c r="DX175" s="67"/>
      <c r="DY175" s="67"/>
      <c r="DZ175" s="67"/>
      <c r="EA175" s="67"/>
      <c r="EB175" s="67"/>
      <c r="EC175" s="67"/>
      <c r="ED175" s="67"/>
      <c r="EE175" s="67"/>
      <c r="EF175" s="67"/>
      <c r="EG175" s="67"/>
      <c r="EH175" s="67">
        <v>26</v>
      </c>
    </row>
    <row r="176" spans="36:138" x14ac:dyDescent="0.2">
      <c r="AJ176" s="12"/>
      <c r="AK176" s="12"/>
      <c r="AL176" s="12"/>
      <c r="AM176" s="12"/>
      <c r="AN176" s="12"/>
      <c r="AO176" s="12"/>
      <c r="AP176" s="12"/>
      <c r="AQ176" s="12"/>
      <c r="AR176" s="12"/>
      <c r="AS176" s="12"/>
      <c r="AT176" s="12"/>
      <c r="AU176" s="12"/>
      <c r="AV176" s="12"/>
      <c r="AW176" s="12"/>
      <c r="AX176" s="12"/>
      <c r="AY176" s="12"/>
      <c r="AZ176" s="12"/>
      <c r="BA176" s="12"/>
      <c r="BB176" s="12"/>
      <c r="BC176" s="12"/>
      <c r="BD176" s="12"/>
      <c r="BE176" s="12"/>
      <c r="BF176" s="12"/>
      <c r="BG176" s="12"/>
      <c r="BH176" s="12"/>
      <c r="BI176" s="12"/>
      <c r="BJ176" s="12"/>
      <c r="BK176" s="12"/>
      <c r="BL176" s="12"/>
      <c r="BM176" s="12"/>
      <c r="BN176" s="12"/>
      <c r="BO176" s="12"/>
      <c r="BP176" s="12"/>
      <c r="BQ176" s="12"/>
      <c r="BR176" s="12"/>
      <c r="BS176" s="12"/>
      <c r="BT176" s="12"/>
      <c r="BU176" s="12"/>
      <c r="BV176" s="12"/>
      <c r="BW176" s="67"/>
      <c r="BX176" s="67"/>
      <c r="BY176" s="67"/>
      <c r="BZ176" s="67"/>
      <c r="CA176" s="67"/>
      <c r="CB176" s="67"/>
      <c r="CC176" s="67"/>
      <c r="CD176" s="67"/>
      <c r="CE176" s="67"/>
      <c r="CF176" s="67" t="s">
        <v>1837</v>
      </c>
      <c r="CG176" s="67"/>
      <c r="CH176" s="67"/>
      <c r="CI176" s="67"/>
      <c r="CJ176" s="67"/>
      <c r="CK176" s="67"/>
      <c r="CL176" s="67"/>
      <c r="CM176" s="67"/>
      <c r="CN176" s="67"/>
      <c r="CO176" s="67"/>
      <c r="CP176" s="67"/>
      <c r="CQ176" s="67"/>
      <c r="CR176" s="67"/>
      <c r="CS176" s="67"/>
      <c r="CT176" s="67"/>
      <c r="CU176" s="67"/>
      <c r="CV176" s="67"/>
      <c r="CW176" s="67"/>
      <c r="CX176" s="67"/>
      <c r="CY176" s="67"/>
      <c r="CZ176" s="67"/>
      <c r="DA176" s="67"/>
      <c r="DB176" s="67"/>
      <c r="DC176" s="67"/>
      <c r="DD176" s="67"/>
      <c r="DE176" s="67"/>
      <c r="DF176" s="67"/>
      <c r="DG176" s="67"/>
      <c r="DH176" s="67"/>
      <c r="DI176" s="67"/>
      <c r="DJ176" s="67"/>
      <c r="DK176" s="67"/>
      <c r="DL176" s="67"/>
      <c r="DM176" s="67"/>
      <c r="DN176" s="67"/>
      <c r="DO176" s="67"/>
      <c r="DP176" s="67"/>
      <c r="DQ176" s="67"/>
      <c r="DR176" s="67"/>
      <c r="DS176" s="67"/>
      <c r="DT176" s="67"/>
      <c r="DU176" s="67"/>
      <c r="DV176" s="67"/>
      <c r="DW176" s="67"/>
      <c r="DX176" s="67"/>
      <c r="DY176" s="67"/>
      <c r="DZ176" s="67"/>
      <c r="EA176" s="67"/>
      <c r="EB176" s="67"/>
      <c r="EC176" s="67"/>
      <c r="ED176" s="67"/>
      <c r="EE176" s="67"/>
      <c r="EF176" s="67"/>
      <c r="EG176" s="67"/>
      <c r="EH176" s="67">
        <v>27</v>
      </c>
    </row>
    <row r="177" spans="36:138" x14ac:dyDescent="0.2">
      <c r="AJ177" s="12"/>
      <c r="AK177" s="12"/>
      <c r="AL177" s="12"/>
      <c r="AM177" s="12"/>
      <c r="AN177" s="12"/>
      <c r="AO177" s="12"/>
      <c r="AP177" s="12"/>
      <c r="AQ177" s="12"/>
      <c r="AR177" s="12"/>
      <c r="AS177" s="12"/>
      <c r="AT177" s="12"/>
      <c r="AU177" s="12"/>
      <c r="AV177" s="12"/>
      <c r="AW177" s="12"/>
      <c r="AX177" s="12"/>
      <c r="AY177" s="12"/>
      <c r="AZ177" s="12"/>
      <c r="BA177" s="12"/>
      <c r="BB177" s="12"/>
      <c r="BC177" s="12"/>
      <c r="BD177" s="12"/>
      <c r="BE177" s="12"/>
      <c r="BF177" s="12"/>
      <c r="BG177" s="12"/>
      <c r="BH177" s="12"/>
      <c r="BI177" s="12"/>
      <c r="BJ177" s="12"/>
      <c r="BK177" s="12"/>
      <c r="BL177" s="12"/>
      <c r="BM177" s="12"/>
      <c r="BN177" s="12"/>
      <c r="BO177" s="12"/>
      <c r="BP177" s="12"/>
      <c r="BQ177" s="12"/>
      <c r="BR177" s="12"/>
      <c r="BS177" s="12"/>
      <c r="BT177" s="12"/>
      <c r="BU177" s="12"/>
      <c r="BV177" s="12"/>
      <c r="BW177" s="67"/>
      <c r="BX177" s="67"/>
      <c r="BY177" s="67"/>
      <c r="BZ177" s="67"/>
      <c r="CA177" s="67"/>
      <c r="CB177" s="67"/>
      <c r="CC177" s="67"/>
      <c r="CD177" s="67"/>
      <c r="CE177" s="67"/>
      <c r="CF177" s="67"/>
      <c r="CG177" s="67"/>
      <c r="CH177" s="67"/>
      <c r="CI177" s="67"/>
      <c r="CJ177" s="67"/>
      <c r="CK177" s="67"/>
      <c r="CL177" s="67"/>
      <c r="CM177" s="67"/>
      <c r="CN177" s="67"/>
      <c r="CO177" s="67"/>
      <c r="CP177" s="67"/>
      <c r="CQ177" s="67"/>
      <c r="CR177" s="67"/>
      <c r="CS177" s="67"/>
      <c r="CT177" s="67"/>
      <c r="CU177" s="67"/>
      <c r="CV177" s="67"/>
      <c r="CW177" s="67"/>
      <c r="CX177" s="67"/>
      <c r="CY177" s="67"/>
      <c r="CZ177" s="67"/>
      <c r="DA177" s="67"/>
      <c r="DB177" s="67"/>
      <c r="DC177" s="67"/>
      <c r="DD177" s="67"/>
      <c r="DE177" s="67"/>
      <c r="DF177" s="67"/>
      <c r="DG177" s="67"/>
      <c r="DH177" s="67"/>
      <c r="DI177" s="67"/>
      <c r="DJ177" s="67"/>
      <c r="DK177" s="67"/>
      <c r="DL177" s="67"/>
      <c r="DM177" s="67"/>
      <c r="DN177" s="67"/>
      <c r="DO177" s="67"/>
      <c r="DP177" s="67"/>
      <c r="DQ177" s="67"/>
      <c r="DR177" s="67"/>
      <c r="DS177" s="67"/>
      <c r="DT177" s="67"/>
      <c r="DU177" s="67"/>
      <c r="DV177" s="67"/>
      <c r="DW177" s="67"/>
      <c r="DX177" s="67"/>
      <c r="DY177" s="67"/>
      <c r="DZ177" s="67"/>
      <c r="EA177" s="67"/>
      <c r="EB177" s="67"/>
      <c r="EC177" s="67"/>
      <c r="ED177" s="67"/>
      <c r="EE177" s="67"/>
      <c r="EF177" s="67"/>
    </row>
    <row r="178" spans="36:138" x14ac:dyDescent="0.2">
      <c r="AJ178" s="12"/>
      <c r="AK178" s="12"/>
      <c r="AL178" s="12"/>
      <c r="AM178" s="12"/>
      <c r="AN178" s="12"/>
      <c r="AO178" s="12"/>
      <c r="AP178" s="12"/>
      <c r="AQ178" s="12"/>
      <c r="AR178" s="12"/>
      <c r="AS178" s="12"/>
      <c r="AT178" s="12"/>
      <c r="AU178" s="12"/>
      <c r="AV178" s="12"/>
      <c r="AW178" s="12"/>
      <c r="AX178" s="12"/>
      <c r="AY178" s="12"/>
      <c r="AZ178" s="12"/>
      <c r="BA178" s="12"/>
      <c r="BB178" s="12"/>
      <c r="BC178" s="12"/>
      <c r="BD178" s="12"/>
      <c r="BE178" s="12"/>
      <c r="BF178" s="12"/>
      <c r="BG178" s="12"/>
      <c r="BH178" s="12"/>
      <c r="BI178" s="12"/>
      <c r="BJ178" s="12"/>
      <c r="BK178" s="12"/>
      <c r="BL178" s="12"/>
      <c r="BM178" s="12"/>
      <c r="BN178" s="12"/>
      <c r="BO178" s="12"/>
      <c r="BP178" s="12"/>
      <c r="BQ178" s="12"/>
      <c r="BR178" s="12"/>
      <c r="BS178" s="12"/>
      <c r="BT178" s="12"/>
      <c r="BU178" s="12"/>
      <c r="BV178" s="12"/>
      <c r="BW178" s="67"/>
      <c r="BX178" s="67"/>
      <c r="BY178" s="67"/>
      <c r="BZ178" s="67"/>
      <c r="CA178" s="67"/>
      <c r="CB178" s="67"/>
      <c r="CC178" s="67"/>
      <c r="CD178" s="67"/>
      <c r="CE178" s="67"/>
      <c r="CF178" s="67"/>
      <c r="CG178" s="67"/>
      <c r="CH178" s="67"/>
      <c r="CI178" s="67"/>
      <c r="CJ178" s="67"/>
      <c r="CK178" s="67"/>
      <c r="CL178" s="67"/>
      <c r="CM178" s="67"/>
      <c r="CN178" s="67"/>
      <c r="CO178" s="67"/>
      <c r="CP178" s="67"/>
      <c r="CQ178" s="67"/>
      <c r="CR178" s="67"/>
      <c r="CS178" s="67"/>
      <c r="CT178" s="67"/>
      <c r="CU178" s="67"/>
      <c r="CV178" s="67"/>
      <c r="CW178" s="67"/>
      <c r="CX178" s="67"/>
      <c r="CY178" s="67"/>
      <c r="CZ178" s="67"/>
      <c r="DA178" s="67"/>
      <c r="DB178" s="67"/>
      <c r="DC178" s="67"/>
      <c r="DD178" s="67"/>
      <c r="DE178" s="67"/>
      <c r="DF178" s="67"/>
      <c r="DG178" s="67"/>
      <c r="DH178" s="67"/>
      <c r="DI178" s="67"/>
      <c r="DJ178" s="67"/>
      <c r="DK178" s="67"/>
      <c r="DL178" s="67"/>
      <c r="DM178" s="67"/>
      <c r="DN178" s="67"/>
      <c r="DO178" s="67"/>
      <c r="DP178" s="67"/>
      <c r="DQ178" s="67"/>
      <c r="DR178" s="67"/>
      <c r="DS178" s="67"/>
      <c r="DT178" s="67"/>
      <c r="DU178" s="67"/>
      <c r="DV178" s="67"/>
      <c r="DW178" s="67"/>
      <c r="DX178" s="67"/>
      <c r="DY178" s="67"/>
      <c r="DZ178" s="67"/>
      <c r="EA178" s="67"/>
      <c r="EB178" s="67"/>
      <c r="EC178" s="67"/>
      <c r="ED178" s="67"/>
      <c r="EE178" s="67"/>
      <c r="EF178" s="67"/>
    </row>
    <row r="179" spans="36:138" x14ac:dyDescent="0.2">
      <c r="AJ179" s="78"/>
      <c r="AK179" s="40" t="s">
        <v>1095</v>
      </c>
      <c r="AL179" s="40" t="s">
        <v>1095</v>
      </c>
      <c r="AM179" s="40" t="s">
        <v>1095</v>
      </c>
      <c r="AN179" s="40" t="s">
        <v>1095</v>
      </c>
      <c r="AO179" s="40" t="s">
        <v>1095</v>
      </c>
      <c r="AP179" s="40" t="s">
        <v>1095</v>
      </c>
      <c r="AQ179" s="40" t="s">
        <v>1095</v>
      </c>
      <c r="AR179" s="40" t="s">
        <v>1095</v>
      </c>
      <c r="AS179" s="40" t="s">
        <v>1095</v>
      </c>
      <c r="AT179" s="40" t="s">
        <v>1095</v>
      </c>
      <c r="AU179" s="40" t="s">
        <v>1095</v>
      </c>
      <c r="AV179" s="40" t="s">
        <v>1095</v>
      </c>
      <c r="AW179" s="40" t="s">
        <v>1095</v>
      </c>
      <c r="AX179" s="40" t="s">
        <v>1095</v>
      </c>
      <c r="AY179" s="40" t="s">
        <v>1095</v>
      </c>
      <c r="AZ179" s="40" t="s">
        <v>1095</v>
      </c>
      <c r="BA179" s="40" t="s">
        <v>1095</v>
      </c>
      <c r="BB179" s="40" t="s">
        <v>1095</v>
      </c>
      <c r="BC179" s="40" t="s">
        <v>1095</v>
      </c>
      <c r="BD179" s="40" t="s">
        <v>1095</v>
      </c>
      <c r="BE179" s="40" t="s">
        <v>1095</v>
      </c>
      <c r="BF179" s="40" t="s">
        <v>1095</v>
      </c>
      <c r="BG179" s="40" t="s">
        <v>1095</v>
      </c>
      <c r="BH179" s="40" t="s">
        <v>1095</v>
      </c>
      <c r="BI179" s="40" t="s">
        <v>1095</v>
      </c>
      <c r="BJ179" s="40" t="s">
        <v>1095</v>
      </c>
      <c r="BK179" s="40" t="s">
        <v>1095</v>
      </c>
      <c r="BL179" s="40" t="s">
        <v>1095</v>
      </c>
      <c r="BM179" s="40" t="s">
        <v>1095</v>
      </c>
      <c r="BN179" s="40" t="s">
        <v>1095</v>
      </c>
      <c r="BO179" s="40" t="s">
        <v>1095</v>
      </c>
      <c r="BP179" s="40" t="s">
        <v>1095</v>
      </c>
      <c r="BQ179" s="40" t="s">
        <v>1095</v>
      </c>
      <c r="BR179" s="40" t="s">
        <v>1095</v>
      </c>
      <c r="BS179" s="40" t="s">
        <v>1095</v>
      </c>
      <c r="BT179" s="40" t="s">
        <v>1095</v>
      </c>
      <c r="BU179" s="40" t="s">
        <v>1095</v>
      </c>
      <c r="BV179" s="40" t="s">
        <v>1095</v>
      </c>
      <c r="BW179" s="88" t="s">
        <v>1095</v>
      </c>
      <c r="BX179" s="88" t="s">
        <v>1095</v>
      </c>
      <c r="BY179" s="88" t="s">
        <v>1095</v>
      </c>
      <c r="BZ179" s="88" t="s">
        <v>1095</v>
      </c>
      <c r="CA179" s="88" t="s">
        <v>1095</v>
      </c>
      <c r="CB179" s="88" t="s">
        <v>1095</v>
      </c>
      <c r="CC179" s="88" t="s">
        <v>1095</v>
      </c>
      <c r="CD179" s="88" t="s">
        <v>1095</v>
      </c>
      <c r="CE179" s="88" t="s">
        <v>1095</v>
      </c>
      <c r="CF179" s="88" t="s">
        <v>1095</v>
      </c>
      <c r="CG179" s="88" t="s">
        <v>1095</v>
      </c>
      <c r="CH179" s="88" t="s">
        <v>1095</v>
      </c>
      <c r="CI179" s="88" t="s">
        <v>1095</v>
      </c>
      <c r="CJ179" s="88" t="s">
        <v>1095</v>
      </c>
      <c r="CK179" s="88" t="s">
        <v>1095</v>
      </c>
      <c r="CL179" s="88" t="s">
        <v>1095</v>
      </c>
      <c r="CM179" s="88" t="s">
        <v>1095</v>
      </c>
      <c r="CN179" s="88" t="s">
        <v>1095</v>
      </c>
      <c r="CO179" s="88" t="s">
        <v>1095</v>
      </c>
      <c r="CP179" s="88" t="s">
        <v>1095</v>
      </c>
      <c r="CQ179" s="88" t="s">
        <v>1095</v>
      </c>
      <c r="CR179" s="88" t="s">
        <v>1095</v>
      </c>
      <c r="CS179" s="88" t="s">
        <v>1095</v>
      </c>
      <c r="CT179" s="88" t="s">
        <v>1095</v>
      </c>
      <c r="CU179" s="88" t="s">
        <v>1095</v>
      </c>
      <c r="CV179" s="88" t="s">
        <v>1095</v>
      </c>
      <c r="CW179" s="88" t="s">
        <v>1095</v>
      </c>
      <c r="CX179" s="88" t="s">
        <v>1095</v>
      </c>
      <c r="CY179" s="88" t="s">
        <v>1095</v>
      </c>
      <c r="CZ179" s="88" t="s">
        <v>1095</v>
      </c>
      <c r="DA179" s="88" t="s">
        <v>1095</v>
      </c>
      <c r="DB179" s="88" t="s">
        <v>1095</v>
      </c>
      <c r="DC179" s="88" t="s">
        <v>1095</v>
      </c>
      <c r="DD179" s="88" t="s">
        <v>1095</v>
      </c>
      <c r="DE179" s="88" t="s">
        <v>1095</v>
      </c>
      <c r="DF179" s="88" t="s">
        <v>1095</v>
      </c>
      <c r="DG179" s="88" t="s">
        <v>1095</v>
      </c>
      <c r="DH179" s="88" t="s">
        <v>1095</v>
      </c>
      <c r="DI179" s="88" t="s">
        <v>1095</v>
      </c>
      <c r="DJ179" s="88"/>
      <c r="DK179" s="88" t="s">
        <v>1095</v>
      </c>
      <c r="DL179" s="88"/>
      <c r="DM179" s="88"/>
      <c r="DN179" s="88"/>
      <c r="DO179" s="88"/>
      <c r="DP179" s="88" t="s">
        <v>1095</v>
      </c>
      <c r="DQ179" s="88"/>
      <c r="DR179" s="88" t="s">
        <v>1095</v>
      </c>
      <c r="DS179" s="88"/>
      <c r="DT179" s="88" t="s">
        <v>1095</v>
      </c>
      <c r="DU179" s="88" t="s">
        <v>1095</v>
      </c>
      <c r="DV179" s="88" t="s">
        <v>1095</v>
      </c>
      <c r="DW179" s="88" t="s">
        <v>1095</v>
      </c>
      <c r="DX179" s="88" t="s">
        <v>1095</v>
      </c>
      <c r="DY179" s="88" t="s">
        <v>1095</v>
      </c>
      <c r="DZ179" s="88" t="s">
        <v>1095</v>
      </c>
      <c r="EA179" s="88" t="s">
        <v>1095</v>
      </c>
      <c r="EB179" s="88" t="s">
        <v>1095</v>
      </c>
      <c r="EC179" s="88" t="s">
        <v>1095</v>
      </c>
      <c r="ED179" s="88" t="s">
        <v>1095</v>
      </c>
      <c r="EE179" s="88" t="s">
        <v>1095</v>
      </c>
      <c r="EF179" s="88"/>
    </row>
    <row r="180" spans="36:138" x14ac:dyDescent="0.2">
      <c r="AJ180" s="78" t="s">
        <v>4813</v>
      </c>
      <c r="AK180" s="77" t="s">
        <v>4062</v>
      </c>
      <c r="AL180" s="77" t="s">
        <v>897</v>
      </c>
      <c r="AM180" s="77" t="s">
        <v>4747</v>
      </c>
      <c r="AN180" s="77" t="s">
        <v>876</v>
      </c>
      <c r="AO180" s="77" t="s">
        <v>4748</v>
      </c>
      <c r="AP180" s="77" t="s">
        <v>4749</v>
      </c>
      <c r="AQ180" s="77" t="s">
        <v>3942</v>
      </c>
      <c r="AR180" s="77" t="s">
        <v>4750</v>
      </c>
      <c r="AS180" s="77" t="s">
        <v>4751</v>
      </c>
      <c r="AT180" s="77" t="s">
        <v>4752</v>
      </c>
      <c r="AU180" s="77" t="s">
        <v>4753</v>
      </c>
      <c r="AV180" s="77" t="s">
        <v>4754</v>
      </c>
      <c r="AW180" s="77" t="s">
        <v>4053</v>
      </c>
      <c r="AX180" s="77" t="s">
        <v>4755</v>
      </c>
      <c r="AY180" s="77" t="s">
        <v>4756</v>
      </c>
      <c r="AZ180" s="77" t="s">
        <v>886</v>
      </c>
      <c r="BA180" s="77" t="s">
        <v>4757</v>
      </c>
      <c r="BB180" s="77" t="s">
        <v>4758</v>
      </c>
      <c r="BC180" s="77" t="s">
        <v>4055</v>
      </c>
      <c r="BD180" s="77" t="s">
        <v>4759</v>
      </c>
      <c r="BE180" s="77" t="s">
        <v>4760</v>
      </c>
      <c r="BF180" s="77" t="s">
        <v>4761</v>
      </c>
      <c r="BG180" s="77" t="s">
        <v>4762</v>
      </c>
      <c r="BH180" s="77" t="s">
        <v>4763</v>
      </c>
      <c r="BI180" s="77" t="s">
        <v>4764</v>
      </c>
      <c r="BJ180" s="77" t="s">
        <v>4765</v>
      </c>
      <c r="BK180" s="77" t="s">
        <v>4766</v>
      </c>
      <c r="BL180" s="77" t="s">
        <v>4767</v>
      </c>
      <c r="BM180" s="77" t="s">
        <v>4768</v>
      </c>
      <c r="BN180" s="77" t="s">
        <v>4769</v>
      </c>
      <c r="BO180" s="77" t="s">
        <v>4770</v>
      </c>
      <c r="BP180" s="77" t="s">
        <v>4771</v>
      </c>
      <c r="BQ180" s="77" t="s">
        <v>4772</v>
      </c>
      <c r="BR180" s="77" t="s">
        <v>4773</v>
      </c>
      <c r="BS180" s="77" t="s">
        <v>4774</v>
      </c>
      <c r="BT180" s="77" t="s">
        <v>4775</v>
      </c>
      <c r="BU180" s="77" t="s">
        <v>994</v>
      </c>
      <c r="BV180" s="77" t="s">
        <v>4776</v>
      </c>
      <c r="BW180" s="86" t="s">
        <v>1023</v>
      </c>
      <c r="BX180" s="67" t="s">
        <v>4777</v>
      </c>
      <c r="BY180" s="86" t="s">
        <v>873</v>
      </c>
      <c r="BZ180" s="86" t="s">
        <v>4778</v>
      </c>
      <c r="CA180" s="67" t="s">
        <v>874</v>
      </c>
      <c r="CB180" s="86" t="s">
        <v>4779</v>
      </c>
      <c r="CC180" s="86" t="s">
        <v>4780</v>
      </c>
      <c r="CD180" s="86" t="s">
        <v>4781</v>
      </c>
      <c r="CE180" s="86" t="s">
        <v>4782</v>
      </c>
      <c r="CF180" s="86" t="s">
        <v>875</v>
      </c>
      <c r="CG180" s="67" t="s">
        <v>4783</v>
      </c>
      <c r="CH180" s="67" t="s">
        <v>4784</v>
      </c>
      <c r="CI180" s="67" t="s">
        <v>4785</v>
      </c>
      <c r="CJ180" s="86" t="s">
        <v>4786</v>
      </c>
      <c r="CK180" s="86" t="s">
        <v>5474</v>
      </c>
      <c r="CL180" s="86" t="s">
        <v>877</v>
      </c>
      <c r="CM180" s="86" t="s">
        <v>878</v>
      </c>
      <c r="CN180" s="86" t="s">
        <v>879</v>
      </c>
      <c r="CO180" s="86" t="s">
        <v>880</v>
      </c>
      <c r="CP180" s="86" t="s">
        <v>881</v>
      </c>
      <c r="CQ180" s="86" t="s">
        <v>882</v>
      </c>
      <c r="CR180" s="86" t="s">
        <v>4787</v>
      </c>
      <c r="CS180" s="86" t="s">
        <v>4788</v>
      </c>
      <c r="CT180" s="86" t="s">
        <v>4789</v>
      </c>
      <c r="CU180" s="86" t="s">
        <v>4790</v>
      </c>
      <c r="CV180" s="86" t="s">
        <v>4791</v>
      </c>
      <c r="CW180" s="86" t="s">
        <v>4792</v>
      </c>
      <c r="CX180" s="86" t="s">
        <v>4793</v>
      </c>
      <c r="CY180" s="67" t="s">
        <v>4794</v>
      </c>
      <c r="CZ180" s="86" t="s">
        <v>1097</v>
      </c>
      <c r="DA180" s="86" t="s">
        <v>1098</v>
      </c>
      <c r="DB180" s="86" t="s">
        <v>1029</v>
      </c>
      <c r="DC180" s="86" t="s">
        <v>4795</v>
      </c>
      <c r="DD180" s="86" t="s">
        <v>4796</v>
      </c>
      <c r="DE180" s="86" t="s">
        <v>887</v>
      </c>
      <c r="DF180" s="86" t="s">
        <v>4797</v>
      </c>
      <c r="DG180" s="86" t="s">
        <v>4798</v>
      </c>
      <c r="DH180" s="86" t="s">
        <v>4799</v>
      </c>
      <c r="DI180" s="86" t="s">
        <v>888</v>
      </c>
      <c r="DJ180" s="86" t="s">
        <v>4800</v>
      </c>
      <c r="DK180" s="86" t="s">
        <v>4801</v>
      </c>
      <c r="DL180" s="86" t="s">
        <v>4802</v>
      </c>
      <c r="DM180" s="67" t="s">
        <v>4803</v>
      </c>
      <c r="DN180" s="86" t="s">
        <v>4804</v>
      </c>
      <c r="DO180" s="86" t="s">
        <v>4805</v>
      </c>
      <c r="DP180" s="86" t="s">
        <v>4806</v>
      </c>
      <c r="DQ180" s="86" t="s">
        <v>4807</v>
      </c>
      <c r="DR180" s="86" t="s">
        <v>889</v>
      </c>
      <c r="DS180" s="86" t="s">
        <v>890</v>
      </c>
      <c r="DT180" s="86" t="s">
        <v>891</v>
      </c>
      <c r="DU180" s="86" t="s">
        <v>892</v>
      </c>
      <c r="DV180" s="86" t="s">
        <v>893</v>
      </c>
      <c r="DW180" s="86" t="s">
        <v>894</v>
      </c>
      <c r="DX180" s="86" t="s">
        <v>895</v>
      </c>
      <c r="DY180" s="86" t="s">
        <v>896</v>
      </c>
      <c r="DZ180" s="67" t="s">
        <v>898</v>
      </c>
      <c r="EA180" s="67" t="s">
        <v>4808</v>
      </c>
      <c r="EB180" s="67" t="s">
        <v>4809</v>
      </c>
      <c r="EC180" s="67" t="s">
        <v>4810</v>
      </c>
      <c r="ED180" s="67" t="s">
        <v>4811</v>
      </c>
      <c r="EE180" s="67" t="s">
        <v>4812</v>
      </c>
      <c r="EF180" s="67" t="s">
        <v>4706</v>
      </c>
      <c r="EG180" s="67" t="s">
        <v>4707</v>
      </c>
      <c r="EH180" s="67" t="s">
        <v>4914</v>
      </c>
    </row>
    <row r="181" spans="36:138" x14ac:dyDescent="0.2">
      <c r="AJ181" s="12"/>
      <c r="AK181" s="77" t="s">
        <v>4062</v>
      </c>
      <c r="AL181" s="77" t="s">
        <v>958</v>
      </c>
      <c r="AM181" s="77" t="s">
        <v>957</v>
      </c>
      <c r="AN181" s="77" t="s">
        <v>4226</v>
      </c>
      <c r="AO181" s="77" t="s">
        <v>4225</v>
      </c>
      <c r="AP181" s="77" t="s">
        <v>4230</v>
      </c>
      <c r="AQ181" s="77" t="s">
        <v>4050</v>
      </c>
      <c r="AR181" s="77" t="s">
        <v>880</v>
      </c>
      <c r="AS181" s="77" t="s">
        <v>4041</v>
      </c>
      <c r="AT181" s="77" t="s">
        <v>4040</v>
      </c>
      <c r="AU181" s="77" t="s">
        <v>4049</v>
      </c>
      <c r="AV181" s="77" t="s">
        <v>4042</v>
      </c>
      <c r="AW181" s="77" t="s">
        <v>4052</v>
      </c>
      <c r="AX181" s="77" t="s">
        <v>4215</v>
      </c>
      <c r="AY181" s="77" t="s">
        <v>4054</v>
      </c>
      <c r="AZ181" s="77" t="s">
        <v>4227</v>
      </c>
      <c r="BA181" s="77" t="s">
        <v>4259</v>
      </c>
      <c r="BB181" s="77" t="s">
        <v>4237</v>
      </c>
      <c r="BC181" s="77" t="s">
        <v>4136</v>
      </c>
      <c r="BD181" s="77" t="s">
        <v>4064</v>
      </c>
      <c r="BE181" s="77" t="s">
        <v>4056</v>
      </c>
      <c r="BF181" s="77" t="s">
        <v>4057</v>
      </c>
      <c r="BG181" s="77" t="s">
        <v>4063</v>
      </c>
      <c r="BH181" s="77" t="s">
        <v>4065</v>
      </c>
      <c r="BI181" s="77" t="s">
        <v>4066</v>
      </c>
      <c r="BJ181" s="77" t="s">
        <v>4067</v>
      </c>
      <c r="BK181" s="77" t="s">
        <v>4058</v>
      </c>
      <c r="BL181" s="77" t="s">
        <v>4254</v>
      </c>
      <c r="BM181" s="77" t="s">
        <v>4059</v>
      </c>
      <c r="BN181" s="77" t="s">
        <v>4068</v>
      </c>
      <c r="BO181" s="77" t="s">
        <v>4060</v>
      </c>
      <c r="BP181" s="77" t="s">
        <v>4069</v>
      </c>
      <c r="BQ181" s="77" t="s">
        <v>4061</v>
      </c>
      <c r="BR181" s="77" t="s">
        <v>4070</v>
      </c>
      <c r="BS181" s="77" t="s">
        <v>4243</v>
      </c>
      <c r="BT181" s="77" t="s">
        <v>4071</v>
      </c>
      <c r="BU181" s="77" t="s">
        <v>894</v>
      </c>
      <c r="BV181" s="77" t="s">
        <v>1038</v>
      </c>
      <c r="BW181" s="67" t="s">
        <v>919</v>
      </c>
      <c r="BX181" s="67" t="s">
        <v>920</v>
      </c>
      <c r="BY181" s="86" t="s">
        <v>921</v>
      </c>
      <c r="BZ181" s="67" t="s">
        <v>922</v>
      </c>
      <c r="CA181" s="67" t="s">
        <v>923</v>
      </c>
      <c r="CB181" s="86" t="s">
        <v>924</v>
      </c>
      <c r="CC181" s="86" t="s">
        <v>925</v>
      </c>
      <c r="CD181" s="86" t="s">
        <v>926</v>
      </c>
      <c r="CE181" s="86" t="s">
        <v>927</v>
      </c>
      <c r="CF181" s="86" t="s">
        <v>875</v>
      </c>
      <c r="CG181" s="67" t="s">
        <v>918</v>
      </c>
      <c r="CH181" s="67" t="s">
        <v>928</v>
      </c>
      <c r="CI181" s="67" t="s">
        <v>929</v>
      </c>
      <c r="CJ181" s="86" t="s">
        <v>876</v>
      </c>
      <c r="CK181" s="86" t="s">
        <v>5474</v>
      </c>
      <c r="CL181" s="86" t="s">
        <v>877</v>
      </c>
      <c r="CM181" s="86" t="s">
        <v>878</v>
      </c>
      <c r="CN181" s="86" t="s">
        <v>879</v>
      </c>
      <c r="CO181" s="86" t="s">
        <v>880</v>
      </c>
      <c r="CP181" s="86" t="s">
        <v>930</v>
      </c>
      <c r="CQ181" s="86" t="s">
        <v>177</v>
      </c>
      <c r="CR181" s="86" t="s">
        <v>931</v>
      </c>
      <c r="CS181" s="86" t="s">
        <v>932</v>
      </c>
      <c r="CT181" s="86" t="s">
        <v>933</v>
      </c>
      <c r="CU181" s="86" t="s">
        <v>934</v>
      </c>
      <c r="CV181" s="86" t="s">
        <v>935</v>
      </c>
      <c r="CW181" s="86" t="s">
        <v>936</v>
      </c>
      <c r="CX181" s="86" t="s">
        <v>937</v>
      </c>
      <c r="CY181" s="67" t="s">
        <v>938</v>
      </c>
      <c r="CZ181" s="86" t="s">
        <v>939</v>
      </c>
      <c r="DA181" s="86" t="s">
        <v>940</v>
      </c>
      <c r="DB181" s="86" t="s">
        <v>941</v>
      </c>
      <c r="DC181" s="86" t="s">
        <v>942</v>
      </c>
      <c r="DD181" s="86" t="s">
        <v>943</v>
      </c>
      <c r="DE181" s="86" t="s">
        <v>887</v>
      </c>
      <c r="DF181" s="86" t="s">
        <v>944</v>
      </c>
      <c r="DG181" s="86" t="s">
        <v>945</v>
      </c>
      <c r="DH181" s="86" t="s">
        <v>946</v>
      </c>
      <c r="DI181" s="86" t="s">
        <v>947</v>
      </c>
      <c r="DJ181" s="86" t="s">
        <v>948</v>
      </c>
      <c r="DK181" s="86" t="s">
        <v>949</v>
      </c>
      <c r="DL181" s="86" t="s">
        <v>950</v>
      </c>
      <c r="DM181" s="67" t="s">
        <v>951</v>
      </c>
      <c r="DN181" s="86" t="s">
        <v>952</v>
      </c>
      <c r="DO181" s="86" t="s">
        <v>953</v>
      </c>
      <c r="DP181" s="86" t="s">
        <v>954</v>
      </c>
      <c r="DQ181" s="86" t="s">
        <v>955</v>
      </c>
      <c r="DR181" s="86" t="s">
        <v>889</v>
      </c>
      <c r="DS181" s="86" t="s">
        <v>890</v>
      </c>
      <c r="DT181" s="86" t="s">
        <v>891</v>
      </c>
      <c r="DU181" s="86" t="s">
        <v>892</v>
      </c>
      <c r="DV181" s="86" t="s">
        <v>956</v>
      </c>
      <c r="DW181" s="86" t="s">
        <v>894</v>
      </c>
      <c r="DX181" s="86" t="s">
        <v>895</v>
      </c>
      <c r="DY181" s="86" t="s">
        <v>896</v>
      </c>
      <c r="DZ181" s="67" t="s">
        <v>959</v>
      </c>
      <c r="EA181" s="67" t="s">
        <v>960</v>
      </c>
      <c r="EB181" s="77" t="s">
        <v>1039</v>
      </c>
      <c r="EC181" s="67" t="s">
        <v>962</v>
      </c>
      <c r="ED181" s="67" t="s">
        <v>963</v>
      </c>
      <c r="EE181" s="67" t="s">
        <v>964</v>
      </c>
      <c r="EF181" s="67" t="s">
        <v>965</v>
      </c>
      <c r="EG181" s="67" t="s">
        <v>966</v>
      </c>
      <c r="EH181" s="67"/>
    </row>
    <row r="182" spans="36:138" x14ac:dyDescent="0.2">
      <c r="AJ182" s="12"/>
      <c r="AK182" s="12" t="s">
        <v>4178</v>
      </c>
      <c r="AL182" s="12" t="s">
        <v>1883</v>
      </c>
      <c r="AM182" s="12" t="s">
        <v>1883</v>
      </c>
      <c r="AN182" s="12" t="s">
        <v>4172</v>
      </c>
      <c r="AO182" s="12" t="s">
        <v>1901</v>
      </c>
      <c r="AP182" s="12" t="s">
        <v>1895</v>
      </c>
      <c r="AQ182" s="12" t="s">
        <v>1903</v>
      </c>
      <c r="AR182" s="12"/>
      <c r="AS182" s="12" t="s">
        <v>1895</v>
      </c>
      <c r="AT182" s="12" t="s">
        <v>343</v>
      </c>
      <c r="AU182" s="12" t="s">
        <v>1881</v>
      </c>
      <c r="AV182" s="12" t="s">
        <v>344</v>
      </c>
      <c r="AW182" s="12" t="s">
        <v>1881</v>
      </c>
      <c r="AX182" s="12" t="s">
        <v>4179</v>
      </c>
      <c r="AY182" s="12" t="s">
        <v>1904</v>
      </c>
      <c r="AZ182" s="12" t="s">
        <v>4183</v>
      </c>
      <c r="BA182" s="12" t="s">
        <v>1897</v>
      </c>
      <c r="BB182" s="12" t="s">
        <v>1904</v>
      </c>
      <c r="BC182" s="12" t="s">
        <v>4137</v>
      </c>
      <c r="BD182" s="12" t="s">
        <v>1881</v>
      </c>
      <c r="BE182" s="12" t="s">
        <v>4138</v>
      </c>
      <c r="BF182" s="12" t="s">
        <v>4139</v>
      </c>
      <c r="BG182" s="12" t="s">
        <v>4139</v>
      </c>
      <c r="BH182" s="12" t="s">
        <v>1895</v>
      </c>
      <c r="BI182" s="12" t="s">
        <v>4137</v>
      </c>
      <c r="BJ182" s="12" t="s">
        <v>1895</v>
      </c>
      <c r="BK182" s="12" t="s">
        <v>1895</v>
      </c>
      <c r="BL182" s="12" t="s">
        <v>1895</v>
      </c>
      <c r="BM182" s="12" t="s">
        <v>4156</v>
      </c>
      <c r="BN182" s="12" t="s">
        <v>1921</v>
      </c>
      <c r="BO182" s="12" t="s">
        <v>4137</v>
      </c>
      <c r="BP182" s="12" t="s">
        <v>1895</v>
      </c>
      <c r="BQ182" s="12" t="s">
        <v>4161</v>
      </c>
      <c r="BR182" s="12" t="s">
        <v>4162</v>
      </c>
      <c r="BS182" s="12" t="s">
        <v>1901</v>
      </c>
      <c r="BT182" s="12" t="s">
        <v>1895</v>
      </c>
      <c r="BU182" s="12" t="s">
        <v>1902</v>
      </c>
      <c r="BV182" s="12" t="s">
        <v>1881</v>
      </c>
      <c r="BW182" s="67" t="s">
        <v>1894</v>
      </c>
      <c r="BX182" s="67" t="s">
        <v>1894</v>
      </c>
      <c r="BY182" s="67" t="s">
        <v>1895</v>
      </c>
      <c r="BZ182" s="67" t="s">
        <v>1895</v>
      </c>
      <c r="CA182" s="67" t="s">
        <v>1895</v>
      </c>
      <c r="CB182" s="67" t="s">
        <v>1895</v>
      </c>
      <c r="CC182" s="67" t="s">
        <v>1895</v>
      </c>
      <c r="CD182" s="67" t="s">
        <v>1894</v>
      </c>
      <c r="CE182" s="67" t="s">
        <v>1894</v>
      </c>
      <c r="CF182" s="67" t="s">
        <v>1895</v>
      </c>
      <c r="CG182" s="67" t="s">
        <v>1895</v>
      </c>
      <c r="CH182" s="67" t="s">
        <v>1895</v>
      </c>
      <c r="CI182" s="67" t="s">
        <v>1895</v>
      </c>
      <c r="CJ182" s="67" t="s">
        <v>1895</v>
      </c>
      <c r="CK182" s="67" t="s">
        <v>5492</v>
      </c>
      <c r="CL182" s="67" t="s">
        <v>1896</v>
      </c>
      <c r="CM182" s="67" t="s">
        <v>1897</v>
      </c>
      <c r="CN182" s="67" t="s">
        <v>1896</v>
      </c>
      <c r="CO182" s="67" t="s">
        <v>1895</v>
      </c>
      <c r="CP182" s="67" t="s">
        <v>1895</v>
      </c>
      <c r="CQ182" s="67" t="s">
        <v>1895</v>
      </c>
      <c r="CR182" s="67" t="s">
        <v>1895</v>
      </c>
      <c r="CS182" s="67" t="s">
        <v>1895</v>
      </c>
      <c r="CT182" s="67" t="s">
        <v>1895</v>
      </c>
      <c r="CU182" s="67" t="s">
        <v>1895</v>
      </c>
      <c r="CV182" s="67" t="s">
        <v>1895</v>
      </c>
      <c r="CW182" s="67" t="s">
        <v>1895</v>
      </c>
      <c r="CX182" s="67" t="s">
        <v>1895</v>
      </c>
      <c r="CY182" s="67" t="s">
        <v>1895</v>
      </c>
      <c r="CZ182" s="67" t="s">
        <v>1898</v>
      </c>
      <c r="DA182" s="67" t="s">
        <v>1899</v>
      </c>
      <c r="DB182" s="67" t="s">
        <v>1881</v>
      </c>
      <c r="DC182" s="67" t="s">
        <v>1900</v>
      </c>
      <c r="DD182" s="67" t="s">
        <v>1895</v>
      </c>
      <c r="DE182" s="67" t="s">
        <v>1895</v>
      </c>
      <c r="DF182" s="67" t="s">
        <v>1895</v>
      </c>
      <c r="DG182" s="67" t="s">
        <v>1895</v>
      </c>
      <c r="DH182" s="67" t="s">
        <v>1895</v>
      </c>
      <c r="DI182" s="67" t="s">
        <v>1899</v>
      </c>
      <c r="DJ182" s="67" t="s">
        <v>1894</v>
      </c>
      <c r="DK182" s="67"/>
      <c r="DL182" s="67" t="s">
        <v>1894</v>
      </c>
      <c r="DM182" s="67"/>
      <c r="DN182" s="67"/>
      <c r="DO182" s="67"/>
      <c r="DP182" s="67"/>
      <c r="DQ182" s="67" t="s">
        <v>1894</v>
      </c>
      <c r="DR182" s="67"/>
      <c r="DS182" s="67" t="s">
        <v>1901</v>
      </c>
      <c r="DT182" s="67"/>
      <c r="DU182" s="67" t="s">
        <v>1897</v>
      </c>
      <c r="DV182" s="67" t="s">
        <v>1897</v>
      </c>
      <c r="DW182" s="67" t="s">
        <v>1902</v>
      </c>
      <c r="DX182" s="67" t="s">
        <v>1883</v>
      </c>
      <c r="DY182" s="67" t="s">
        <v>1883</v>
      </c>
      <c r="DZ182" s="67" t="s">
        <v>4183</v>
      </c>
      <c r="EA182" s="67" t="s">
        <v>1877</v>
      </c>
      <c r="EB182" s="67" t="s">
        <v>1883</v>
      </c>
      <c r="EC182" s="67" t="s">
        <v>1883</v>
      </c>
      <c r="ED182" s="67" t="s">
        <v>1881</v>
      </c>
      <c r="EE182" s="67" t="s">
        <v>1889</v>
      </c>
      <c r="EF182" s="67"/>
      <c r="EG182" s="67"/>
      <c r="EH182" s="67">
        <v>2</v>
      </c>
    </row>
    <row r="183" spans="36:138" x14ac:dyDescent="0.2">
      <c r="AJ183" s="12"/>
      <c r="AK183" s="12" t="s">
        <v>341</v>
      </c>
      <c r="AL183" s="12"/>
      <c r="AM183" s="12"/>
      <c r="AN183" s="12"/>
      <c r="AO183" s="12" t="s">
        <v>1904</v>
      </c>
      <c r="AP183" s="12"/>
      <c r="AQ183" s="12" t="s">
        <v>1876</v>
      </c>
      <c r="AR183" s="12"/>
      <c r="AS183" s="12"/>
      <c r="AT183" s="12"/>
      <c r="AU183" s="12"/>
      <c r="AV183" s="12" t="s">
        <v>1904</v>
      </c>
      <c r="AW183" s="12" t="s">
        <v>4180</v>
      </c>
      <c r="AX183" s="12"/>
      <c r="AY183" s="12" t="s">
        <v>1881</v>
      </c>
      <c r="AZ183" s="12" t="s">
        <v>1881</v>
      </c>
      <c r="BA183" s="12"/>
      <c r="BB183" s="12" t="s">
        <v>1881</v>
      </c>
      <c r="BC183" s="12" t="s">
        <v>1894</v>
      </c>
      <c r="BD183" s="12"/>
      <c r="BE183" s="12"/>
      <c r="BF183" s="12"/>
      <c r="BG183" s="12" t="s">
        <v>1895</v>
      </c>
      <c r="BH183" s="12"/>
      <c r="BI183" s="12"/>
      <c r="BJ183" s="12"/>
      <c r="BK183" s="12"/>
      <c r="BL183" s="12"/>
      <c r="BM183" s="12"/>
      <c r="BN183" s="12"/>
      <c r="BO183" s="12"/>
      <c r="BP183" s="12"/>
      <c r="BQ183" s="12" t="s">
        <v>1895</v>
      </c>
      <c r="BR183" s="12"/>
      <c r="BS183" s="12"/>
      <c r="BT183" s="12" t="s">
        <v>1904</v>
      </c>
      <c r="BU183" s="12" t="s">
        <v>1883</v>
      </c>
      <c r="BV183" s="12" t="s">
        <v>4151</v>
      </c>
      <c r="BW183" s="67" t="s">
        <v>1897</v>
      </c>
      <c r="BX183" s="67" t="s">
        <v>1897</v>
      </c>
      <c r="BY183" s="67" t="s">
        <v>1904</v>
      </c>
      <c r="BZ183" s="67" t="s">
        <v>1904</v>
      </c>
      <c r="CA183" s="67" t="s">
        <v>1904</v>
      </c>
      <c r="CB183" s="67"/>
      <c r="CC183" s="67" t="s">
        <v>1904</v>
      </c>
      <c r="CD183" s="67"/>
      <c r="CE183" s="67" t="s">
        <v>1881</v>
      </c>
      <c r="CF183" s="67"/>
      <c r="CG183" s="67" t="s">
        <v>1904</v>
      </c>
      <c r="CH183" s="67" t="s">
        <v>1904</v>
      </c>
      <c r="CI183" s="67" t="s">
        <v>1904</v>
      </c>
      <c r="CJ183" s="67" t="s">
        <v>1897</v>
      </c>
      <c r="CK183" s="67"/>
      <c r="CL183" s="67"/>
      <c r="CM183" s="67"/>
      <c r="CN183" s="67"/>
      <c r="CO183" s="67"/>
      <c r="CP183" s="67"/>
      <c r="CQ183" s="67"/>
      <c r="CR183" s="67" t="s">
        <v>1905</v>
      </c>
      <c r="CS183" s="67"/>
      <c r="CT183" s="67"/>
      <c r="CU183" s="67" t="s">
        <v>1904</v>
      </c>
      <c r="CV183" s="67" t="s">
        <v>1904</v>
      </c>
      <c r="CW183" s="67" t="s">
        <v>1904</v>
      </c>
      <c r="CX183" s="67"/>
      <c r="CY183" s="67"/>
      <c r="CZ183" s="67" t="s">
        <v>1881</v>
      </c>
      <c r="DA183" s="67" t="s">
        <v>1881</v>
      </c>
      <c r="DB183" s="67"/>
      <c r="DC183" s="67"/>
      <c r="DD183" s="67"/>
      <c r="DE183" s="67"/>
      <c r="DF183" s="67"/>
      <c r="DG183" s="67"/>
      <c r="DH183" s="67"/>
      <c r="DI183" s="67" t="s">
        <v>1883</v>
      </c>
      <c r="DJ183" s="67" t="s">
        <v>1905</v>
      </c>
      <c r="DK183" s="67"/>
      <c r="DL183" s="67" t="s">
        <v>1905</v>
      </c>
      <c r="DM183" s="67"/>
      <c r="DN183" s="67"/>
      <c r="DO183" s="67"/>
      <c r="DP183" s="67"/>
      <c r="DQ183" s="67" t="s">
        <v>1905</v>
      </c>
      <c r="DR183" s="67"/>
      <c r="DS183" s="67" t="s">
        <v>1881</v>
      </c>
      <c r="DT183" s="67"/>
      <c r="DU183" s="67"/>
      <c r="DV183" s="67"/>
      <c r="DW183" s="67" t="s">
        <v>1883</v>
      </c>
      <c r="DX183" s="67" t="s">
        <v>1889</v>
      </c>
      <c r="DY183" s="67" t="s">
        <v>1899</v>
      </c>
      <c r="DZ183" s="67"/>
      <c r="EA183" s="67"/>
      <c r="EB183" s="67"/>
      <c r="EC183" s="67"/>
      <c r="ED183" s="67" t="s">
        <v>1903</v>
      </c>
      <c r="EE183" s="67"/>
      <c r="EF183" s="67"/>
      <c r="EG183" s="67"/>
      <c r="EH183" s="67">
        <v>3</v>
      </c>
    </row>
    <row r="184" spans="36:138" x14ac:dyDescent="0.2">
      <c r="AJ184" s="12"/>
      <c r="AK184" s="57" t="s">
        <v>343</v>
      </c>
      <c r="AL184" s="57"/>
      <c r="AM184" s="57"/>
      <c r="AN184" s="57"/>
      <c r="AO184" s="57"/>
      <c r="AP184" s="57"/>
      <c r="AQ184" s="57"/>
      <c r="AR184" s="57"/>
      <c r="AS184" s="57"/>
      <c r="AT184" s="57"/>
      <c r="AU184" s="57"/>
      <c r="AV184" s="57"/>
      <c r="AW184" s="57"/>
      <c r="AX184" s="57"/>
      <c r="AY184" s="57"/>
      <c r="AZ184" s="57" t="s">
        <v>1904</v>
      </c>
      <c r="BA184" s="57"/>
      <c r="BB184" s="57"/>
      <c r="BC184" s="57"/>
      <c r="BD184" s="57"/>
      <c r="BE184" s="57"/>
      <c r="BF184" s="57"/>
      <c r="BG184" s="57"/>
      <c r="BH184" s="57"/>
      <c r="BI184" s="57"/>
      <c r="BJ184" s="57"/>
      <c r="BK184" s="57"/>
      <c r="BL184" s="57"/>
      <c r="BM184" s="57"/>
      <c r="BN184" s="57"/>
      <c r="BO184" s="57"/>
      <c r="BP184" s="57"/>
      <c r="BQ184" s="57"/>
      <c r="BR184" s="57"/>
      <c r="BS184" s="57"/>
      <c r="BT184" s="57" t="s">
        <v>1907</v>
      </c>
      <c r="BU184" s="57"/>
      <c r="BV184" s="57"/>
      <c r="BW184" s="89"/>
      <c r="BX184" s="89"/>
      <c r="BY184" s="89" t="s">
        <v>1907</v>
      </c>
      <c r="BZ184" s="89" t="s">
        <v>1907</v>
      </c>
      <c r="CA184" s="89" t="s">
        <v>1907</v>
      </c>
      <c r="CB184" s="89"/>
      <c r="CC184" s="89" t="s">
        <v>1907</v>
      </c>
      <c r="CD184" s="89"/>
      <c r="CE184" s="89"/>
      <c r="CF184" s="89"/>
      <c r="CG184" s="89" t="s">
        <v>1907</v>
      </c>
      <c r="CH184" s="89" t="s">
        <v>1907</v>
      </c>
      <c r="CI184" s="89" t="s">
        <v>1907</v>
      </c>
      <c r="CJ184" s="89"/>
      <c r="CK184" s="89"/>
      <c r="CL184" s="89"/>
      <c r="CM184" s="89"/>
      <c r="CN184" s="89"/>
      <c r="CO184" s="89"/>
      <c r="CP184" s="89"/>
      <c r="CQ184" s="89"/>
      <c r="CR184" s="89"/>
      <c r="CS184" s="89"/>
      <c r="CT184" s="89"/>
      <c r="CU184" s="89" t="s">
        <v>1907</v>
      </c>
      <c r="CV184" s="89" t="s">
        <v>1907</v>
      </c>
      <c r="CW184" s="89" t="s">
        <v>1907</v>
      </c>
      <c r="CX184" s="89"/>
      <c r="CY184" s="89"/>
      <c r="CZ184" s="89"/>
      <c r="DA184" s="89" t="s">
        <v>1883</v>
      </c>
      <c r="DB184" s="89"/>
      <c r="DC184" s="89"/>
      <c r="DD184" s="89"/>
      <c r="DE184" s="89"/>
      <c r="DF184" s="89"/>
      <c r="DG184" s="89"/>
      <c r="DH184" s="89"/>
      <c r="DI184" s="89"/>
      <c r="DJ184" s="89" t="s">
        <v>1908</v>
      </c>
      <c r="DK184" s="89"/>
      <c r="DL184" s="89" t="s">
        <v>1908</v>
      </c>
      <c r="DM184" s="89"/>
      <c r="DN184" s="89"/>
      <c r="DO184" s="89"/>
      <c r="DP184" s="89"/>
      <c r="DQ184" s="89" t="s">
        <v>1908</v>
      </c>
      <c r="DR184" s="89"/>
      <c r="DS184" s="89" t="s">
        <v>1909</v>
      </c>
      <c r="DT184" s="89"/>
      <c r="DU184" s="89"/>
      <c r="DV184" s="89"/>
      <c r="DW184" s="89"/>
      <c r="DX184" s="89"/>
      <c r="DY184" s="89"/>
      <c r="DZ184" s="89"/>
      <c r="EA184" s="89"/>
      <c r="EB184" s="89"/>
      <c r="EC184" s="89"/>
      <c r="ED184" s="89" t="s">
        <v>1889</v>
      </c>
      <c r="EE184" s="89"/>
      <c r="EF184" s="89"/>
      <c r="EG184" s="89"/>
      <c r="EH184" s="67">
        <v>4</v>
      </c>
    </row>
    <row r="185" spans="36:138" x14ac:dyDescent="0.2">
      <c r="AJ185" s="12"/>
      <c r="AK185" s="57"/>
      <c r="AL185" s="57"/>
      <c r="AM185" s="57"/>
      <c r="AN185" s="57"/>
      <c r="AO185" s="57"/>
      <c r="AP185" s="57"/>
      <c r="AQ185" s="57"/>
      <c r="AR185" s="57"/>
      <c r="AS185" s="57"/>
      <c r="AT185" s="57"/>
      <c r="AU185" s="57"/>
      <c r="AV185" s="57"/>
      <c r="AW185" s="57"/>
      <c r="AX185" s="57"/>
      <c r="AY185" s="57"/>
      <c r="AZ185" s="57"/>
      <c r="BA185" s="57"/>
      <c r="BB185" s="57"/>
      <c r="BC185" s="57"/>
      <c r="BD185" s="57"/>
      <c r="BE185" s="57"/>
      <c r="BF185" s="57"/>
      <c r="BG185" s="57"/>
      <c r="BH185" s="57"/>
      <c r="BI185" s="57"/>
      <c r="BJ185" s="57"/>
      <c r="BK185" s="57"/>
      <c r="BL185" s="57"/>
      <c r="BM185" s="57"/>
      <c r="BN185" s="57"/>
      <c r="BO185" s="57"/>
      <c r="BP185" s="57"/>
      <c r="BQ185" s="57"/>
      <c r="BR185" s="57"/>
      <c r="BS185" s="57"/>
      <c r="BT185" s="57"/>
      <c r="BU185" s="57"/>
      <c r="BV185" s="57"/>
      <c r="BW185" s="89"/>
      <c r="BX185" s="89"/>
      <c r="BY185" s="89"/>
      <c r="BZ185" s="89"/>
      <c r="CA185" s="89"/>
      <c r="CB185" s="89"/>
      <c r="CC185" s="89"/>
      <c r="CD185" s="89"/>
      <c r="CE185" s="89"/>
      <c r="CF185" s="89"/>
      <c r="CG185" s="89"/>
      <c r="CH185" s="89"/>
      <c r="CI185" s="89"/>
      <c r="CJ185" s="89"/>
      <c r="CK185" s="89"/>
      <c r="CL185" s="89"/>
      <c r="CM185" s="89"/>
      <c r="CN185" s="89"/>
      <c r="CO185" s="89"/>
      <c r="CP185" s="89"/>
      <c r="CQ185" s="89"/>
      <c r="CR185" s="89"/>
      <c r="CS185" s="89"/>
      <c r="CT185" s="89"/>
      <c r="CU185" s="89"/>
      <c r="CV185" s="89"/>
      <c r="CW185" s="89"/>
      <c r="CX185" s="89"/>
      <c r="CY185" s="89"/>
      <c r="CZ185" s="89"/>
      <c r="DA185" s="89"/>
      <c r="DB185" s="89"/>
      <c r="DC185" s="89"/>
      <c r="DD185" s="89"/>
      <c r="DE185" s="89"/>
      <c r="DF185" s="89"/>
      <c r="DG185" s="89"/>
      <c r="DH185" s="89"/>
      <c r="DI185" s="89"/>
      <c r="DJ185" s="89"/>
      <c r="DK185" s="89"/>
      <c r="DL185" s="89"/>
      <c r="DM185" s="89"/>
      <c r="DN185" s="89"/>
      <c r="DO185" s="89"/>
      <c r="DP185" s="89"/>
      <c r="DQ185" s="89"/>
      <c r="DR185" s="89"/>
      <c r="DS185" s="89"/>
      <c r="DT185" s="89"/>
      <c r="DU185" s="89"/>
      <c r="DV185" s="89"/>
      <c r="DW185" s="89"/>
      <c r="DX185" s="89"/>
      <c r="DY185" s="89"/>
      <c r="DZ185" s="89"/>
      <c r="EA185" s="89"/>
      <c r="EB185" s="89"/>
      <c r="EC185" s="89"/>
      <c r="ED185" s="89"/>
      <c r="EE185" s="89"/>
      <c r="EF185" s="89"/>
    </row>
    <row r="186" spans="36:138" x14ac:dyDescent="0.2">
      <c r="AJ186" s="78" t="s">
        <v>4814</v>
      </c>
      <c r="AK186" s="77" t="s">
        <v>4062</v>
      </c>
      <c r="AL186" s="77" t="s">
        <v>897</v>
      </c>
      <c r="AM186" s="77" t="s">
        <v>4747</v>
      </c>
      <c r="AN186" s="77" t="s">
        <v>876</v>
      </c>
      <c r="AO186" s="77" t="s">
        <v>4748</v>
      </c>
      <c r="AP186" s="77" t="s">
        <v>4749</v>
      </c>
      <c r="AQ186" s="77" t="s">
        <v>3942</v>
      </c>
      <c r="AR186" s="77" t="s">
        <v>4750</v>
      </c>
      <c r="AS186" s="77" t="s">
        <v>4751</v>
      </c>
      <c r="AT186" s="77" t="s">
        <v>4752</v>
      </c>
      <c r="AU186" s="77" t="s">
        <v>4753</v>
      </c>
      <c r="AV186" s="77" t="s">
        <v>4754</v>
      </c>
      <c r="AW186" s="77" t="s">
        <v>4053</v>
      </c>
      <c r="AX186" s="77" t="s">
        <v>4755</v>
      </c>
      <c r="AY186" s="77" t="s">
        <v>4756</v>
      </c>
      <c r="AZ186" s="77" t="s">
        <v>886</v>
      </c>
      <c r="BA186" s="77" t="s">
        <v>4757</v>
      </c>
      <c r="BB186" s="77" t="s">
        <v>4758</v>
      </c>
      <c r="BC186" s="77" t="s">
        <v>4055</v>
      </c>
      <c r="BD186" s="77" t="s">
        <v>4759</v>
      </c>
      <c r="BE186" s="77" t="s">
        <v>4760</v>
      </c>
      <c r="BF186" s="77" t="s">
        <v>4761</v>
      </c>
      <c r="BG186" s="77" t="s">
        <v>4762</v>
      </c>
      <c r="BH186" s="77" t="s">
        <v>4763</v>
      </c>
      <c r="BI186" s="77" t="s">
        <v>4764</v>
      </c>
      <c r="BJ186" s="77" t="s">
        <v>4765</v>
      </c>
      <c r="BK186" s="77" t="s">
        <v>4766</v>
      </c>
      <c r="BL186" s="77" t="s">
        <v>4767</v>
      </c>
      <c r="BM186" s="77" t="s">
        <v>4768</v>
      </c>
      <c r="BN186" s="77" t="s">
        <v>4769</v>
      </c>
      <c r="BO186" s="77" t="s">
        <v>4770</v>
      </c>
      <c r="BP186" s="77" t="s">
        <v>4771</v>
      </c>
      <c r="BQ186" s="77" t="s">
        <v>4772</v>
      </c>
      <c r="BR186" s="77" t="s">
        <v>4773</v>
      </c>
      <c r="BS186" s="77" t="s">
        <v>4774</v>
      </c>
      <c r="BT186" s="77" t="s">
        <v>4775</v>
      </c>
      <c r="BU186" s="77" t="s">
        <v>994</v>
      </c>
      <c r="BV186" s="77" t="s">
        <v>4776</v>
      </c>
      <c r="BW186" s="86" t="s">
        <v>1023</v>
      </c>
      <c r="BX186" s="67" t="s">
        <v>4777</v>
      </c>
      <c r="BY186" s="86" t="s">
        <v>873</v>
      </c>
      <c r="BZ186" s="86" t="s">
        <v>4778</v>
      </c>
      <c r="CA186" s="67" t="s">
        <v>874</v>
      </c>
      <c r="CB186" s="86" t="s">
        <v>4779</v>
      </c>
      <c r="CC186" s="86" t="s">
        <v>4780</v>
      </c>
      <c r="CD186" s="86" t="s">
        <v>4781</v>
      </c>
      <c r="CE186" s="86" t="s">
        <v>4782</v>
      </c>
      <c r="CF186" s="86" t="s">
        <v>875</v>
      </c>
      <c r="CG186" s="67" t="s">
        <v>4783</v>
      </c>
      <c r="CH186" s="67" t="s">
        <v>4784</v>
      </c>
      <c r="CI186" s="67" t="s">
        <v>4785</v>
      </c>
      <c r="CJ186" s="86" t="s">
        <v>4786</v>
      </c>
      <c r="CK186" s="86" t="s">
        <v>5474</v>
      </c>
      <c r="CL186" s="86" t="s">
        <v>877</v>
      </c>
      <c r="CM186" s="86" t="s">
        <v>878</v>
      </c>
      <c r="CN186" s="86" t="s">
        <v>879</v>
      </c>
      <c r="CO186" s="86" t="s">
        <v>880</v>
      </c>
      <c r="CP186" s="86" t="s">
        <v>881</v>
      </c>
      <c r="CQ186" s="86" t="s">
        <v>882</v>
      </c>
      <c r="CR186" s="86" t="s">
        <v>4787</v>
      </c>
      <c r="CS186" s="86" t="s">
        <v>4788</v>
      </c>
      <c r="CT186" s="86" t="s">
        <v>4789</v>
      </c>
      <c r="CU186" s="86" t="s">
        <v>4790</v>
      </c>
      <c r="CV186" s="86" t="s">
        <v>4791</v>
      </c>
      <c r="CW186" s="86" t="s">
        <v>4792</v>
      </c>
      <c r="CX186" s="86" t="s">
        <v>4793</v>
      </c>
      <c r="CY186" s="67" t="s">
        <v>4794</v>
      </c>
      <c r="CZ186" s="86" t="s">
        <v>1097</v>
      </c>
      <c r="DA186" s="86" t="s">
        <v>1098</v>
      </c>
      <c r="DB186" s="86" t="s">
        <v>1029</v>
      </c>
      <c r="DC186" s="86" t="s">
        <v>4795</v>
      </c>
      <c r="DD186" s="86" t="s">
        <v>4796</v>
      </c>
      <c r="DE186" s="86" t="s">
        <v>887</v>
      </c>
      <c r="DF186" s="86" t="s">
        <v>4797</v>
      </c>
      <c r="DG186" s="86" t="s">
        <v>4798</v>
      </c>
      <c r="DH186" s="86" t="s">
        <v>4799</v>
      </c>
      <c r="DI186" s="86" t="s">
        <v>888</v>
      </c>
      <c r="DJ186" s="86" t="s">
        <v>4800</v>
      </c>
      <c r="DK186" s="86" t="s">
        <v>4801</v>
      </c>
      <c r="DL186" s="86" t="s">
        <v>4802</v>
      </c>
      <c r="DM186" s="67" t="s">
        <v>4803</v>
      </c>
      <c r="DN186" s="86" t="s">
        <v>4804</v>
      </c>
      <c r="DO186" s="86" t="s">
        <v>4805</v>
      </c>
      <c r="DP186" s="86" t="s">
        <v>4806</v>
      </c>
      <c r="DQ186" s="86" t="s">
        <v>4807</v>
      </c>
      <c r="DR186" s="86" t="s">
        <v>889</v>
      </c>
      <c r="DS186" s="86" t="s">
        <v>890</v>
      </c>
      <c r="DT186" s="86" t="s">
        <v>891</v>
      </c>
      <c r="DU186" s="86" t="s">
        <v>892</v>
      </c>
      <c r="DV186" s="86" t="s">
        <v>893</v>
      </c>
      <c r="DW186" s="86" t="s">
        <v>894</v>
      </c>
      <c r="DX186" s="86" t="s">
        <v>895</v>
      </c>
      <c r="DY186" s="86" t="s">
        <v>896</v>
      </c>
      <c r="DZ186" s="67" t="s">
        <v>898</v>
      </c>
      <c r="EA186" s="67" t="s">
        <v>4808</v>
      </c>
      <c r="EB186" s="67" t="s">
        <v>4809</v>
      </c>
      <c r="EC186" s="67" t="s">
        <v>4810</v>
      </c>
      <c r="ED186" s="67" t="s">
        <v>4811</v>
      </c>
      <c r="EE186" s="67" t="s">
        <v>4812</v>
      </c>
      <c r="EF186" s="67" t="s">
        <v>4706</v>
      </c>
      <c r="EG186" s="67" t="s">
        <v>4707</v>
      </c>
      <c r="EH186" s="67" t="s">
        <v>4914</v>
      </c>
    </row>
    <row r="187" spans="36:138" x14ac:dyDescent="0.2">
      <c r="AJ187" s="12"/>
      <c r="AK187" s="77" t="s">
        <v>4062</v>
      </c>
      <c r="AL187" s="77" t="s">
        <v>958</v>
      </c>
      <c r="AM187" s="77" t="s">
        <v>957</v>
      </c>
      <c r="AN187" s="77" t="s">
        <v>4226</v>
      </c>
      <c r="AO187" s="77" t="s">
        <v>4225</v>
      </c>
      <c r="AP187" s="77" t="s">
        <v>4230</v>
      </c>
      <c r="AQ187" s="77" t="s">
        <v>4050</v>
      </c>
      <c r="AR187" s="77" t="s">
        <v>880</v>
      </c>
      <c r="AS187" s="77" t="s">
        <v>4041</v>
      </c>
      <c r="AT187" s="77" t="s">
        <v>4040</v>
      </c>
      <c r="AU187" s="77" t="s">
        <v>4049</v>
      </c>
      <c r="AV187" s="77" t="s">
        <v>4042</v>
      </c>
      <c r="AW187" s="77" t="s">
        <v>4052</v>
      </c>
      <c r="AX187" s="77" t="s">
        <v>4215</v>
      </c>
      <c r="AY187" s="77" t="s">
        <v>4054</v>
      </c>
      <c r="AZ187" s="77" t="s">
        <v>4227</v>
      </c>
      <c r="BA187" s="77" t="s">
        <v>4259</v>
      </c>
      <c r="BB187" s="77" t="s">
        <v>4237</v>
      </c>
      <c r="BC187" s="77" t="s">
        <v>4136</v>
      </c>
      <c r="BD187" s="77" t="s">
        <v>4064</v>
      </c>
      <c r="BE187" s="77" t="s">
        <v>4056</v>
      </c>
      <c r="BF187" s="77" t="s">
        <v>4057</v>
      </c>
      <c r="BG187" s="77" t="s">
        <v>4063</v>
      </c>
      <c r="BH187" s="77" t="s">
        <v>4065</v>
      </c>
      <c r="BI187" s="77" t="s">
        <v>4066</v>
      </c>
      <c r="BJ187" s="77" t="s">
        <v>4067</v>
      </c>
      <c r="BK187" s="77" t="s">
        <v>4058</v>
      </c>
      <c r="BL187" s="77" t="s">
        <v>4254</v>
      </c>
      <c r="BM187" s="77" t="s">
        <v>4059</v>
      </c>
      <c r="BN187" s="77" t="s">
        <v>4068</v>
      </c>
      <c r="BO187" s="77" t="s">
        <v>4060</v>
      </c>
      <c r="BP187" s="77" t="s">
        <v>4069</v>
      </c>
      <c r="BQ187" s="77" t="s">
        <v>4061</v>
      </c>
      <c r="BR187" s="77" t="s">
        <v>4070</v>
      </c>
      <c r="BS187" s="77" t="s">
        <v>4243</v>
      </c>
      <c r="BT187" s="77" t="s">
        <v>4071</v>
      </c>
      <c r="BU187" s="77" t="s">
        <v>894</v>
      </c>
      <c r="BV187" s="77" t="s">
        <v>1038</v>
      </c>
      <c r="BW187" s="67" t="s">
        <v>919</v>
      </c>
      <c r="BX187" s="67" t="s">
        <v>920</v>
      </c>
      <c r="BY187" s="86" t="s">
        <v>921</v>
      </c>
      <c r="BZ187" s="67" t="s">
        <v>922</v>
      </c>
      <c r="CA187" s="67" t="s">
        <v>923</v>
      </c>
      <c r="CB187" s="86" t="s">
        <v>924</v>
      </c>
      <c r="CC187" s="86" t="s">
        <v>925</v>
      </c>
      <c r="CD187" s="86" t="s">
        <v>926</v>
      </c>
      <c r="CE187" s="86" t="s">
        <v>927</v>
      </c>
      <c r="CF187" s="86" t="s">
        <v>875</v>
      </c>
      <c r="CG187" s="67" t="s">
        <v>918</v>
      </c>
      <c r="CH187" s="67" t="s">
        <v>928</v>
      </c>
      <c r="CI187" s="67" t="s">
        <v>929</v>
      </c>
      <c r="CJ187" s="86" t="s">
        <v>876</v>
      </c>
      <c r="CK187" s="86" t="s">
        <v>5474</v>
      </c>
      <c r="CL187" s="86" t="s">
        <v>877</v>
      </c>
      <c r="CM187" s="86" t="s">
        <v>878</v>
      </c>
      <c r="CN187" s="86" t="s">
        <v>879</v>
      </c>
      <c r="CO187" s="86" t="s">
        <v>880</v>
      </c>
      <c r="CP187" s="86" t="s">
        <v>930</v>
      </c>
      <c r="CQ187" s="86" t="s">
        <v>177</v>
      </c>
      <c r="CR187" s="86" t="s">
        <v>931</v>
      </c>
      <c r="CS187" s="86" t="s">
        <v>932</v>
      </c>
      <c r="CT187" s="86" t="s">
        <v>933</v>
      </c>
      <c r="CU187" s="86" t="s">
        <v>934</v>
      </c>
      <c r="CV187" s="86" t="s">
        <v>935</v>
      </c>
      <c r="CW187" s="86" t="s">
        <v>936</v>
      </c>
      <c r="CX187" s="86" t="s">
        <v>937</v>
      </c>
      <c r="CY187" s="67" t="s">
        <v>938</v>
      </c>
      <c r="CZ187" s="86" t="s">
        <v>939</v>
      </c>
      <c r="DA187" s="86" t="s">
        <v>940</v>
      </c>
      <c r="DB187" s="86" t="s">
        <v>941</v>
      </c>
      <c r="DC187" s="86" t="s">
        <v>942</v>
      </c>
      <c r="DD187" s="86" t="s">
        <v>943</v>
      </c>
      <c r="DE187" s="86" t="s">
        <v>887</v>
      </c>
      <c r="DF187" s="86" t="s">
        <v>944</v>
      </c>
      <c r="DG187" s="86" t="s">
        <v>945</v>
      </c>
      <c r="DH187" s="86" t="s">
        <v>946</v>
      </c>
      <c r="DI187" s="86" t="s">
        <v>947</v>
      </c>
      <c r="DJ187" s="86" t="s">
        <v>948</v>
      </c>
      <c r="DK187" s="86" t="s">
        <v>949</v>
      </c>
      <c r="DL187" s="86" t="s">
        <v>950</v>
      </c>
      <c r="DM187" s="67" t="s">
        <v>951</v>
      </c>
      <c r="DN187" s="86" t="s">
        <v>952</v>
      </c>
      <c r="DO187" s="86" t="s">
        <v>953</v>
      </c>
      <c r="DP187" s="86" t="s">
        <v>954</v>
      </c>
      <c r="DQ187" s="86" t="s">
        <v>955</v>
      </c>
      <c r="DR187" s="86" t="s">
        <v>889</v>
      </c>
      <c r="DS187" s="86" t="s">
        <v>890</v>
      </c>
      <c r="DT187" s="86" t="s">
        <v>891</v>
      </c>
      <c r="DU187" s="86" t="s">
        <v>892</v>
      </c>
      <c r="DV187" s="86" t="s">
        <v>956</v>
      </c>
      <c r="DW187" s="86" t="s">
        <v>894</v>
      </c>
      <c r="DX187" s="86" t="s">
        <v>895</v>
      </c>
      <c r="DY187" s="86" t="s">
        <v>896</v>
      </c>
      <c r="DZ187" s="67" t="s">
        <v>959</v>
      </c>
      <c r="EA187" s="67" t="s">
        <v>960</v>
      </c>
      <c r="EB187" s="77" t="s">
        <v>1039</v>
      </c>
      <c r="EC187" s="67" t="s">
        <v>962</v>
      </c>
      <c r="ED187" s="67" t="s">
        <v>963</v>
      </c>
      <c r="EE187" s="67" t="s">
        <v>964</v>
      </c>
      <c r="EF187" s="67" t="s">
        <v>965</v>
      </c>
      <c r="EG187" s="67" t="s">
        <v>966</v>
      </c>
      <c r="EH187" s="67"/>
    </row>
    <row r="188" spans="36:138" x14ac:dyDescent="0.2">
      <c r="AJ188" s="12"/>
      <c r="AK188" s="12" t="s">
        <v>1884</v>
      </c>
      <c r="AL188" s="12" t="s">
        <v>1884</v>
      </c>
      <c r="AM188" s="12" t="s">
        <v>1884</v>
      </c>
      <c r="AN188" s="12" t="s">
        <v>1883</v>
      </c>
      <c r="AO188" s="12" t="s">
        <v>1881</v>
      </c>
      <c r="AP188" s="12" t="s">
        <v>1903</v>
      </c>
      <c r="AQ188" s="12" t="s">
        <v>1876</v>
      </c>
      <c r="AR188" s="12"/>
      <c r="AS188" s="12" t="s">
        <v>1903</v>
      </c>
      <c r="AT188" s="12" t="s">
        <v>1883</v>
      </c>
      <c r="AU188" s="12" t="s">
        <v>1903</v>
      </c>
      <c r="AV188" s="12" t="s">
        <v>1903</v>
      </c>
      <c r="AW188" s="12" t="s">
        <v>4151</v>
      </c>
      <c r="AX188" s="12" t="s">
        <v>1876</v>
      </c>
      <c r="AY188" s="12" t="s">
        <v>1921</v>
      </c>
      <c r="AZ188" s="12" t="s">
        <v>1881</v>
      </c>
      <c r="BA188" s="12" t="s">
        <v>1881</v>
      </c>
      <c r="BB188" s="12" t="s">
        <v>1881</v>
      </c>
      <c r="BC188" s="12" t="s">
        <v>1883</v>
      </c>
      <c r="BD188" s="12" t="s">
        <v>1883</v>
      </c>
      <c r="BE188" s="12" t="s">
        <v>1881</v>
      </c>
      <c r="BF188" s="12" t="s">
        <v>1881</v>
      </c>
      <c r="BG188" s="12" t="s">
        <v>1881</v>
      </c>
      <c r="BH188" s="12" t="s">
        <v>1881</v>
      </c>
      <c r="BI188" s="12" t="s">
        <v>1921</v>
      </c>
      <c r="BJ188" s="12" t="s">
        <v>1876</v>
      </c>
      <c r="BK188" s="12" t="s">
        <v>1876</v>
      </c>
      <c r="BL188" s="12" t="s">
        <v>1876</v>
      </c>
      <c r="BM188" s="12" t="s">
        <v>1881</v>
      </c>
      <c r="BN188" s="12" t="s">
        <v>1921</v>
      </c>
      <c r="BO188" s="12" t="s">
        <v>1921</v>
      </c>
      <c r="BP188" s="12" t="s">
        <v>1881</v>
      </c>
      <c r="BQ188" s="12" t="s">
        <v>1876</v>
      </c>
      <c r="BR188" s="12" t="s">
        <v>1876</v>
      </c>
      <c r="BS188" s="12" t="s">
        <v>1909</v>
      </c>
      <c r="BT188" s="12" t="s">
        <v>1876</v>
      </c>
      <c r="BU188" s="12" t="s">
        <v>1883</v>
      </c>
      <c r="BV188" s="12" t="s">
        <v>1883</v>
      </c>
      <c r="BW188" s="67" t="s">
        <v>1881</v>
      </c>
      <c r="BX188" s="67" t="s">
        <v>1881</v>
      </c>
      <c r="BY188" s="67" t="s">
        <v>1881</v>
      </c>
      <c r="BZ188" s="67" t="s">
        <v>1881</v>
      </c>
      <c r="CA188" s="67" t="s">
        <v>1881</v>
      </c>
      <c r="CB188" s="67" t="s">
        <v>1889</v>
      </c>
      <c r="CC188" s="67" t="s">
        <v>1881</v>
      </c>
      <c r="CD188" s="67" t="s">
        <v>1889</v>
      </c>
      <c r="CE188" s="67" t="s">
        <v>1889</v>
      </c>
      <c r="CF188" s="67" t="s">
        <v>1889</v>
      </c>
      <c r="CG188" s="67" t="s">
        <v>1881</v>
      </c>
      <c r="CH188" s="67" t="s">
        <v>1881</v>
      </c>
      <c r="CI188" s="67" t="s">
        <v>1881</v>
      </c>
      <c r="CJ188" s="67" t="s">
        <v>1883</v>
      </c>
      <c r="CK188" s="89" t="s">
        <v>1876</v>
      </c>
      <c r="CL188" s="67" t="s">
        <v>1889</v>
      </c>
      <c r="CM188" s="67" t="s">
        <v>1876</v>
      </c>
      <c r="CN188" s="67" t="s">
        <v>1912</v>
      </c>
      <c r="CO188" s="67" t="s">
        <v>1889</v>
      </c>
      <c r="CP188" s="67" t="s">
        <v>1876</v>
      </c>
      <c r="CQ188" s="67" t="s">
        <v>1876</v>
      </c>
      <c r="CR188" s="67" t="s">
        <v>1881</v>
      </c>
      <c r="CS188" s="67" t="s">
        <v>1876</v>
      </c>
      <c r="CT188" s="67" t="s">
        <v>1876</v>
      </c>
      <c r="CU188" s="67" t="s">
        <v>1881</v>
      </c>
      <c r="CV188" s="67" t="s">
        <v>1881</v>
      </c>
      <c r="CW188" s="67" t="s">
        <v>1881</v>
      </c>
      <c r="CX188" s="67" t="s">
        <v>1876</v>
      </c>
      <c r="CY188" s="67" t="s">
        <v>1876</v>
      </c>
      <c r="CZ188" s="67" t="s">
        <v>1909</v>
      </c>
      <c r="DA188" s="67" t="s">
        <v>1909</v>
      </c>
      <c r="DB188" s="67" t="s">
        <v>1881</v>
      </c>
      <c r="DC188" s="67" t="s">
        <v>1881</v>
      </c>
      <c r="DD188" s="67" t="s">
        <v>1881</v>
      </c>
      <c r="DE188" s="67" t="s">
        <v>1912</v>
      </c>
      <c r="DF188" s="67" t="s">
        <v>1912</v>
      </c>
      <c r="DG188" s="67" t="s">
        <v>1912</v>
      </c>
      <c r="DH188" s="67" t="s">
        <v>1912</v>
      </c>
      <c r="DI188" s="67" t="s">
        <v>1884</v>
      </c>
      <c r="DJ188" s="67" t="s">
        <v>1881</v>
      </c>
      <c r="DK188" s="67"/>
      <c r="DL188" s="67" t="s">
        <v>1881</v>
      </c>
      <c r="DM188" s="67"/>
      <c r="DN188" s="67"/>
      <c r="DO188" s="67"/>
      <c r="DP188" s="67"/>
      <c r="DQ188" s="67" t="s">
        <v>1881</v>
      </c>
      <c r="DR188" s="67"/>
      <c r="DS188" s="67" t="s">
        <v>1889</v>
      </c>
      <c r="DT188" s="67"/>
      <c r="DU188" s="67" t="s">
        <v>1912</v>
      </c>
      <c r="DV188" s="67" t="s">
        <v>1883</v>
      </c>
      <c r="DW188" s="67" t="s">
        <v>1883</v>
      </c>
      <c r="DX188" s="67" t="s">
        <v>1883</v>
      </c>
      <c r="DY188" s="67" t="s">
        <v>1883</v>
      </c>
      <c r="DZ188" s="67" t="s">
        <v>1883</v>
      </c>
      <c r="EA188" s="67" t="s">
        <v>1884</v>
      </c>
      <c r="EB188" s="67" t="s">
        <v>1884</v>
      </c>
      <c r="EC188" s="67" t="s">
        <v>1883</v>
      </c>
      <c r="ED188" s="67" t="s">
        <v>1883</v>
      </c>
      <c r="EE188" s="67" t="s">
        <v>1883</v>
      </c>
      <c r="EF188" s="67"/>
      <c r="EG188" s="67"/>
      <c r="EH188" s="67">
        <v>2</v>
      </c>
    </row>
    <row r="189" spans="36:138" x14ac:dyDescent="0.2">
      <c r="AJ189" s="12"/>
      <c r="AK189" s="12" t="s">
        <v>341</v>
      </c>
      <c r="AL189" s="12" t="s">
        <v>1917</v>
      </c>
      <c r="AM189" s="12" t="s">
        <v>1917</v>
      </c>
      <c r="AN189" s="12"/>
      <c r="AO189" s="12" t="s">
        <v>1913</v>
      </c>
      <c r="AP189" s="12" t="s">
        <v>1913</v>
      </c>
      <c r="AQ189" s="12" t="s">
        <v>1903</v>
      </c>
      <c r="AR189" s="12"/>
      <c r="AS189" s="12" t="s">
        <v>1876</v>
      </c>
      <c r="AT189" s="12" t="s">
        <v>344</v>
      </c>
      <c r="AU189" s="12" t="s">
        <v>1881</v>
      </c>
      <c r="AV189" s="12" t="s">
        <v>1881</v>
      </c>
      <c r="AW189" s="12" t="s">
        <v>1883</v>
      </c>
      <c r="AX189" s="12" t="s">
        <v>1881</v>
      </c>
      <c r="AY189" s="12" t="s">
        <v>1881</v>
      </c>
      <c r="AZ189" s="12"/>
      <c r="BA189" s="12" t="s">
        <v>1883</v>
      </c>
      <c r="BB189" s="12" t="s">
        <v>1883</v>
      </c>
      <c r="BC189" s="12" t="s">
        <v>1881</v>
      </c>
      <c r="BD189" s="12" t="s">
        <v>1881</v>
      </c>
      <c r="BE189" s="12"/>
      <c r="BF189" s="12" t="s">
        <v>1903</v>
      </c>
      <c r="BG189" s="12"/>
      <c r="BH189" s="12" t="s">
        <v>1876</v>
      </c>
      <c r="BI189" s="12"/>
      <c r="BJ189" s="12" t="s">
        <v>1881</v>
      </c>
      <c r="BK189" s="12" t="s">
        <v>4151</v>
      </c>
      <c r="BL189" s="12" t="s">
        <v>1903</v>
      </c>
      <c r="BM189" s="12" t="s">
        <v>1913</v>
      </c>
      <c r="BN189" s="12"/>
      <c r="BO189" s="12"/>
      <c r="BP189" s="12" t="s">
        <v>1903</v>
      </c>
      <c r="BQ189" s="12" t="s">
        <v>1881</v>
      </c>
      <c r="BR189" s="12" t="s">
        <v>1881</v>
      </c>
      <c r="BS189" s="12"/>
      <c r="BT189" s="12" t="s">
        <v>1881</v>
      </c>
      <c r="BU189" s="12" t="s">
        <v>1916</v>
      </c>
      <c r="BV189" s="12" t="s">
        <v>1881</v>
      </c>
      <c r="BW189" s="67" t="s">
        <v>1876</v>
      </c>
      <c r="BX189" s="67" t="s">
        <v>1876</v>
      </c>
      <c r="BY189" s="67" t="s">
        <v>1876</v>
      </c>
      <c r="BZ189" s="67" t="s">
        <v>1876</v>
      </c>
      <c r="CA189" s="67" t="s">
        <v>1876</v>
      </c>
      <c r="CB189" s="67" t="s">
        <v>1913</v>
      </c>
      <c r="CC189" s="67" t="s">
        <v>1876</v>
      </c>
      <c r="CD189" s="67"/>
      <c r="CE189" s="67"/>
      <c r="CF189" s="67" t="s">
        <v>1914</v>
      </c>
      <c r="CG189" s="67" t="s">
        <v>1876</v>
      </c>
      <c r="CH189" s="67" t="s">
        <v>1876</v>
      </c>
      <c r="CI189" s="67" t="s">
        <v>1876</v>
      </c>
      <c r="CJ189" s="67" t="s">
        <v>1876</v>
      </c>
      <c r="CK189" s="67" t="s">
        <v>1889</v>
      </c>
      <c r="CL189" s="67" t="s">
        <v>1876</v>
      </c>
      <c r="CM189" s="67" t="s">
        <v>1903</v>
      </c>
      <c r="CN189" s="67" t="s">
        <v>1889</v>
      </c>
      <c r="CO189" s="67"/>
      <c r="CP189" s="67"/>
      <c r="CQ189" s="67" t="s">
        <v>1881</v>
      </c>
      <c r="CR189" s="67" t="s">
        <v>1876</v>
      </c>
      <c r="CS189" s="67"/>
      <c r="CT189" s="67"/>
      <c r="CU189" s="67" t="s">
        <v>1876</v>
      </c>
      <c r="CV189" s="67" t="s">
        <v>1876</v>
      </c>
      <c r="CW189" s="67" t="s">
        <v>1876</v>
      </c>
      <c r="CX189" s="67" t="s">
        <v>1903</v>
      </c>
      <c r="CY189" s="67"/>
      <c r="CZ189" s="67"/>
      <c r="DA189" s="67" t="s">
        <v>1883</v>
      </c>
      <c r="DB189" s="67" t="s">
        <v>1876</v>
      </c>
      <c r="DC189" s="67" t="s">
        <v>1876</v>
      </c>
      <c r="DD189" s="67" t="s">
        <v>1876</v>
      </c>
      <c r="DE189" s="67"/>
      <c r="DF189" s="67"/>
      <c r="DG189" s="67"/>
      <c r="DH189" s="67"/>
      <c r="DI189" s="67" t="s">
        <v>1915</v>
      </c>
      <c r="DJ189" s="67"/>
      <c r="DK189" s="67"/>
      <c r="DL189" s="67"/>
      <c r="DM189" s="67"/>
      <c r="DN189" s="67"/>
      <c r="DO189" s="67"/>
      <c r="DP189" s="67"/>
      <c r="DQ189" s="67"/>
      <c r="DR189" s="67"/>
      <c r="DS189" s="67" t="s">
        <v>1881</v>
      </c>
      <c r="DT189" s="67"/>
      <c r="DU189" s="67"/>
      <c r="DV189" s="67"/>
      <c r="DW189" s="67" t="s">
        <v>1916</v>
      </c>
      <c r="DX189" s="67" t="s">
        <v>1916</v>
      </c>
      <c r="DY189" s="67" t="s">
        <v>1916</v>
      </c>
      <c r="DZ189" s="67" t="s">
        <v>1881</v>
      </c>
      <c r="EA189" s="67" t="s">
        <v>1883</v>
      </c>
      <c r="EB189" s="67"/>
      <c r="EC189" s="67"/>
      <c r="ED189" s="67" t="s">
        <v>1881</v>
      </c>
      <c r="EE189" s="67" t="s">
        <v>1881</v>
      </c>
      <c r="EF189" s="67"/>
      <c r="EG189" s="67"/>
      <c r="EH189" s="67">
        <v>3</v>
      </c>
    </row>
    <row r="190" spans="36:138" x14ac:dyDescent="0.2">
      <c r="AJ190" s="12"/>
      <c r="AK190" s="57"/>
      <c r="AL190" s="57" t="s">
        <v>1918</v>
      </c>
      <c r="AM190" s="57" t="s">
        <v>1918</v>
      </c>
      <c r="AN190" s="57"/>
      <c r="AO190" s="57"/>
      <c r="AP190" s="57" t="s">
        <v>4174</v>
      </c>
      <c r="AQ190" s="57" t="s">
        <v>1881</v>
      </c>
      <c r="AR190" s="57"/>
      <c r="AS190" s="57"/>
      <c r="AT190" s="57" t="s">
        <v>341</v>
      </c>
      <c r="AU190" s="57"/>
      <c r="AV190" s="57" t="s">
        <v>1913</v>
      </c>
      <c r="AW190" s="57"/>
      <c r="AX190" s="57"/>
      <c r="AY190" s="57" t="s">
        <v>1913</v>
      </c>
      <c r="AZ190" s="57"/>
      <c r="BA190" s="57"/>
      <c r="BB190" s="57"/>
      <c r="BC190" s="57"/>
      <c r="BD190" s="57"/>
      <c r="BE190" s="57"/>
      <c r="BF190" s="57"/>
      <c r="BG190" s="57"/>
      <c r="BH190" s="57" t="s">
        <v>1903</v>
      </c>
      <c r="BI190" s="57"/>
      <c r="BJ190" s="57"/>
      <c r="BK190" s="57"/>
      <c r="BL190" s="57"/>
      <c r="BM190" s="57"/>
      <c r="BN190" s="57"/>
      <c r="BO190" s="57"/>
      <c r="BP190" s="57"/>
      <c r="BQ190" s="57" t="s">
        <v>1903</v>
      </c>
      <c r="BR190" s="57"/>
      <c r="BS190" s="57"/>
      <c r="BT190" s="57" t="s">
        <v>1903</v>
      </c>
      <c r="BU190" s="57"/>
      <c r="BV190" s="57"/>
      <c r="BW190" s="89" t="s">
        <v>1903</v>
      </c>
      <c r="BX190" s="89" t="s">
        <v>1903</v>
      </c>
      <c r="BY190" s="89" t="s">
        <v>1903</v>
      </c>
      <c r="BZ190" s="89" t="s">
        <v>1903</v>
      </c>
      <c r="CA190" s="89" t="s">
        <v>1903</v>
      </c>
      <c r="CB190" s="89" t="s">
        <v>1876</v>
      </c>
      <c r="CC190" s="89" t="s">
        <v>1903</v>
      </c>
      <c r="CD190" s="89"/>
      <c r="CE190" s="89"/>
      <c r="CF190" s="89"/>
      <c r="CG190" s="89" t="s">
        <v>1903</v>
      </c>
      <c r="CH190" s="89" t="s">
        <v>1903</v>
      </c>
      <c r="CI190" s="89" t="s">
        <v>1903</v>
      </c>
      <c r="CJ190" s="89" t="s">
        <v>1881</v>
      </c>
      <c r="CK190" s="89" t="s">
        <v>5493</v>
      </c>
      <c r="CL190" s="89"/>
      <c r="CM190" s="89"/>
      <c r="CN190" s="89"/>
      <c r="CO190" s="89"/>
      <c r="CP190" s="89"/>
      <c r="CQ190" s="89"/>
      <c r="CR190" s="89" t="s">
        <v>1903</v>
      </c>
      <c r="CS190" s="89"/>
      <c r="CT190" s="89"/>
      <c r="CU190" s="89" t="s">
        <v>1903</v>
      </c>
      <c r="CV190" s="89" t="s">
        <v>1903</v>
      </c>
      <c r="CW190" s="89" t="s">
        <v>1903</v>
      </c>
      <c r="CX190" s="89"/>
      <c r="CY190" s="89"/>
      <c r="CZ190" s="89"/>
      <c r="DA190" s="89"/>
      <c r="DB190" s="89"/>
      <c r="DC190" s="89"/>
      <c r="DD190" s="89"/>
      <c r="DE190" s="89"/>
      <c r="DF190" s="89"/>
      <c r="DG190" s="89"/>
      <c r="DH190" s="89"/>
      <c r="DI190" s="89"/>
      <c r="DJ190" s="89"/>
      <c r="DK190" s="89"/>
      <c r="DL190" s="89"/>
      <c r="DM190" s="89"/>
      <c r="DN190" s="89"/>
      <c r="DO190" s="89"/>
      <c r="DP190" s="89"/>
      <c r="DQ190" s="89"/>
      <c r="DR190" s="89"/>
      <c r="DS190" s="89" t="s">
        <v>1876</v>
      </c>
      <c r="DT190" s="89"/>
      <c r="DU190" s="89"/>
      <c r="DV190" s="89"/>
      <c r="DW190" s="89"/>
      <c r="DX190" s="89"/>
      <c r="DY190" s="89"/>
      <c r="DZ190" s="89"/>
      <c r="EA190" s="89"/>
      <c r="EB190" s="89"/>
      <c r="EC190" s="89"/>
      <c r="ED190" s="89"/>
      <c r="EE190" s="89"/>
      <c r="EF190" s="89"/>
      <c r="EG190" s="89"/>
      <c r="EH190" s="67">
        <v>4</v>
      </c>
    </row>
    <row r="191" spans="36:138" x14ac:dyDescent="0.2">
      <c r="AJ191" s="12"/>
      <c r="AK191" s="57"/>
      <c r="AL191" s="57" t="s">
        <v>1889</v>
      </c>
      <c r="AM191" s="57" t="s">
        <v>1889</v>
      </c>
      <c r="AN191" s="57"/>
      <c r="AO191" s="57"/>
      <c r="AP191" s="57"/>
      <c r="AQ191" s="57"/>
      <c r="AR191" s="57"/>
      <c r="AS191" s="57"/>
      <c r="AT191" s="57" t="s">
        <v>342</v>
      </c>
      <c r="AU191" s="57"/>
      <c r="AV191" s="57"/>
      <c r="AW191" s="57"/>
      <c r="AX191" s="57"/>
      <c r="AY191" s="57"/>
      <c r="AZ191" s="57"/>
      <c r="BA191" s="57"/>
      <c r="BB191" s="57"/>
      <c r="BC191" s="57"/>
      <c r="BD191" s="57"/>
      <c r="BE191" s="57"/>
      <c r="BF191" s="57"/>
      <c r="BG191" s="57"/>
      <c r="BH191" s="57"/>
      <c r="BI191" s="57"/>
      <c r="BJ191" s="57"/>
      <c r="BK191" s="57"/>
      <c r="BL191" s="57"/>
      <c r="BM191" s="57"/>
      <c r="BN191" s="57"/>
      <c r="BO191" s="57"/>
      <c r="BP191" s="57"/>
      <c r="BQ191" s="57"/>
      <c r="BR191" s="57"/>
      <c r="BS191" s="57"/>
      <c r="BT191" s="57"/>
      <c r="BU191" s="57"/>
      <c r="BV191" s="57"/>
      <c r="BW191" s="89"/>
      <c r="BX191" s="89"/>
      <c r="BY191" s="89" t="s">
        <v>1889</v>
      </c>
      <c r="BZ191" s="89" t="s">
        <v>1889</v>
      </c>
      <c r="CA191" s="89" t="s">
        <v>1889</v>
      </c>
      <c r="CB191" s="89" t="s">
        <v>1903</v>
      </c>
      <c r="CC191" s="89" t="s">
        <v>1889</v>
      </c>
      <c r="CD191" s="89"/>
      <c r="CE191" s="89"/>
      <c r="CF191" s="89"/>
      <c r="CG191" s="89" t="s">
        <v>1889</v>
      </c>
      <c r="CH191" s="89" t="s">
        <v>1889</v>
      </c>
      <c r="CI191" s="89" t="s">
        <v>1889</v>
      </c>
      <c r="CJ191" s="89"/>
      <c r="CK191" s="89"/>
      <c r="CL191" s="89"/>
      <c r="CM191" s="89"/>
      <c r="CN191" s="89"/>
      <c r="CO191" s="89"/>
      <c r="CP191" s="89"/>
      <c r="CQ191" s="89"/>
      <c r="CR191" s="89"/>
      <c r="CS191" s="89"/>
      <c r="CT191" s="89"/>
      <c r="CU191" s="89" t="s">
        <v>1889</v>
      </c>
      <c r="CV191" s="89" t="s">
        <v>1889</v>
      </c>
      <c r="CW191" s="89" t="s">
        <v>1889</v>
      </c>
      <c r="CX191" s="89"/>
      <c r="CY191" s="89"/>
      <c r="CZ191" s="89"/>
      <c r="DA191" s="89"/>
      <c r="DB191" s="89"/>
      <c r="DC191" s="89"/>
      <c r="DD191" s="89"/>
      <c r="DE191" s="89"/>
      <c r="DF191" s="89"/>
      <c r="DG191" s="89"/>
      <c r="DH191" s="89"/>
      <c r="DI191" s="89"/>
      <c r="DJ191" s="89"/>
      <c r="DK191" s="89"/>
      <c r="DL191" s="89"/>
      <c r="DM191" s="89"/>
      <c r="DN191" s="89"/>
      <c r="DO191" s="89"/>
      <c r="DP191" s="89"/>
      <c r="DQ191" s="89"/>
      <c r="DR191" s="89"/>
      <c r="DS191" s="89" t="s">
        <v>1903</v>
      </c>
      <c r="DT191" s="89"/>
      <c r="DU191" s="89"/>
      <c r="DV191" s="89"/>
      <c r="DW191" s="89"/>
      <c r="DX191" s="89"/>
      <c r="DY191" s="89"/>
      <c r="DZ191" s="89"/>
      <c r="EA191" s="89"/>
      <c r="EB191" s="89"/>
      <c r="EC191" s="89"/>
      <c r="ED191" s="89"/>
      <c r="EE191" s="89"/>
      <c r="EF191" s="89"/>
      <c r="EG191" s="89"/>
      <c r="EH191" s="67">
        <v>5</v>
      </c>
    </row>
    <row r="192" spans="36:138" x14ac:dyDescent="0.2">
      <c r="AJ192" s="12"/>
      <c r="AK192" s="57"/>
      <c r="AL192" s="57"/>
      <c r="AM192" s="57"/>
      <c r="AN192" s="57"/>
      <c r="AO192" s="57"/>
      <c r="AP192" s="57"/>
      <c r="AQ192" s="57"/>
      <c r="AR192" s="57"/>
      <c r="AS192" s="57"/>
      <c r="AT192" s="57"/>
      <c r="AU192" s="57"/>
      <c r="AV192" s="57"/>
      <c r="AW192" s="57"/>
      <c r="AX192" s="57"/>
      <c r="AY192" s="57"/>
      <c r="AZ192" s="57"/>
      <c r="BA192" s="57"/>
      <c r="BB192" s="57"/>
      <c r="BC192" s="57"/>
      <c r="BD192" s="57"/>
      <c r="BE192" s="57"/>
      <c r="BF192" s="57"/>
      <c r="BG192" s="57"/>
      <c r="BH192" s="57"/>
      <c r="BI192" s="57"/>
      <c r="BJ192" s="57"/>
      <c r="BK192" s="57"/>
      <c r="BL192" s="57"/>
      <c r="BM192" s="57"/>
      <c r="BN192" s="57"/>
      <c r="BO192" s="57"/>
      <c r="BP192" s="57"/>
      <c r="BQ192" s="57"/>
      <c r="BR192" s="57"/>
      <c r="BS192" s="57"/>
      <c r="BT192" s="57"/>
      <c r="BU192" s="57"/>
      <c r="BV192" s="57"/>
      <c r="BW192" s="89"/>
      <c r="BX192" s="89"/>
      <c r="BY192" s="89"/>
      <c r="BZ192" s="89"/>
      <c r="CA192" s="89"/>
      <c r="CB192" s="89"/>
      <c r="CC192" s="89"/>
      <c r="CD192" s="89"/>
      <c r="CE192" s="89"/>
      <c r="CF192" s="89"/>
      <c r="CG192" s="89"/>
      <c r="CH192" s="89"/>
      <c r="CI192" s="89"/>
      <c r="CJ192" s="89"/>
      <c r="CK192" s="89"/>
      <c r="CL192" s="89"/>
      <c r="CM192" s="89"/>
      <c r="CN192" s="89"/>
      <c r="CO192" s="89"/>
      <c r="CP192" s="89"/>
      <c r="CQ192" s="89"/>
      <c r="CR192" s="89"/>
      <c r="CS192" s="89"/>
      <c r="CT192" s="89"/>
      <c r="CU192" s="89"/>
      <c r="CV192" s="89"/>
      <c r="CW192" s="89"/>
      <c r="CX192" s="89"/>
      <c r="CY192" s="89"/>
      <c r="CZ192" s="89"/>
      <c r="DA192" s="89"/>
      <c r="DB192" s="89"/>
      <c r="DC192" s="89"/>
      <c r="DD192" s="89"/>
      <c r="DE192" s="89"/>
      <c r="DF192" s="89"/>
      <c r="DG192" s="89"/>
      <c r="DH192" s="89"/>
      <c r="DI192" s="89"/>
      <c r="DJ192" s="89"/>
      <c r="DK192" s="89"/>
      <c r="DL192" s="89"/>
      <c r="DM192" s="89"/>
      <c r="DN192" s="89"/>
      <c r="DO192" s="89"/>
      <c r="DP192" s="89"/>
      <c r="DQ192" s="89"/>
      <c r="DR192" s="89"/>
      <c r="DS192" s="89"/>
      <c r="DT192" s="89"/>
      <c r="DU192" s="89"/>
      <c r="DV192" s="89"/>
      <c r="DW192" s="89"/>
      <c r="DX192" s="89"/>
      <c r="DY192" s="89"/>
      <c r="DZ192" s="89"/>
      <c r="EA192" s="89"/>
      <c r="EB192" s="89"/>
      <c r="EC192" s="89"/>
      <c r="ED192" s="89"/>
      <c r="EE192" s="89"/>
      <c r="EF192" s="89"/>
    </row>
    <row r="193" spans="36:138" x14ac:dyDescent="0.2">
      <c r="AJ193" s="78" t="s">
        <v>4815</v>
      </c>
      <c r="AK193" s="77" t="s">
        <v>4062</v>
      </c>
      <c r="AL193" s="77" t="s">
        <v>897</v>
      </c>
      <c r="AM193" s="77" t="s">
        <v>4747</v>
      </c>
      <c r="AN193" s="77" t="s">
        <v>876</v>
      </c>
      <c r="AO193" s="77" t="s">
        <v>4748</v>
      </c>
      <c r="AP193" s="77" t="s">
        <v>4749</v>
      </c>
      <c r="AQ193" s="77" t="s">
        <v>3942</v>
      </c>
      <c r="AR193" s="77" t="s">
        <v>4750</v>
      </c>
      <c r="AS193" s="77" t="s">
        <v>4751</v>
      </c>
      <c r="AT193" s="77" t="s">
        <v>4752</v>
      </c>
      <c r="AU193" s="77" t="s">
        <v>4753</v>
      </c>
      <c r="AV193" s="77" t="s">
        <v>4754</v>
      </c>
      <c r="AW193" s="77" t="s">
        <v>4053</v>
      </c>
      <c r="AX193" s="77" t="s">
        <v>4755</v>
      </c>
      <c r="AY193" s="77" t="s">
        <v>4756</v>
      </c>
      <c r="AZ193" s="77" t="s">
        <v>886</v>
      </c>
      <c r="BA193" s="77" t="s">
        <v>4757</v>
      </c>
      <c r="BB193" s="77" t="s">
        <v>4758</v>
      </c>
      <c r="BC193" s="77" t="s">
        <v>4055</v>
      </c>
      <c r="BD193" s="77" t="s">
        <v>4759</v>
      </c>
      <c r="BE193" s="77" t="s">
        <v>4760</v>
      </c>
      <c r="BF193" s="77" t="s">
        <v>4761</v>
      </c>
      <c r="BG193" s="77" t="s">
        <v>4762</v>
      </c>
      <c r="BH193" s="77" t="s">
        <v>4763</v>
      </c>
      <c r="BI193" s="77" t="s">
        <v>4764</v>
      </c>
      <c r="BJ193" s="77" t="s">
        <v>4765</v>
      </c>
      <c r="BK193" s="77" t="s">
        <v>4766</v>
      </c>
      <c r="BL193" s="77" t="s">
        <v>4767</v>
      </c>
      <c r="BM193" s="77" t="s">
        <v>4768</v>
      </c>
      <c r="BN193" s="77" t="s">
        <v>4769</v>
      </c>
      <c r="BO193" s="77" t="s">
        <v>4770</v>
      </c>
      <c r="BP193" s="77" t="s">
        <v>4771</v>
      </c>
      <c r="BQ193" s="77" t="s">
        <v>4772</v>
      </c>
      <c r="BR193" s="77" t="s">
        <v>4773</v>
      </c>
      <c r="BS193" s="77" t="s">
        <v>4774</v>
      </c>
      <c r="BT193" s="77" t="s">
        <v>4775</v>
      </c>
      <c r="BU193" s="77" t="s">
        <v>994</v>
      </c>
      <c r="BV193" s="77" t="s">
        <v>4776</v>
      </c>
      <c r="BW193" s="86" t="s">
        <v>1023</v>
      </c>
      <c r="BX193" s="67" t="s">
        <v>4777</v>
      </c>
      <c r="BY193" s="86" t="s">
        <v>873</v>
      </c>
      <c r="BZ193" s="86" t="s">
        <v>4778</v>
      </c>
      <c r="CA193" s="67" t="s">
        <v>874</v>
      </c>
      <c r="CB193" s="86" t="s">
        <v>4779</v>
      </c>
      <c r="CC193" s="86" t="s">
        <v>4780</v>
      </c>
      <c r="CD193" s="86" t="s">
        <v>4781</v>
      </c>
      <c r="CE193" s="86" t="s">
        <v>4782</v>
      </c>
      <c r="CF193" s="86" t="s">
        <v>875</v>
      </c>
      <c r="CG193" s="67" t="s">
        <v>4783</v>
      </c>
      <c r="CH193" s="67" t="s">
        <v>4784</v>
      </c>
      <c r="CI193" s="67" t="s">
        <v>4785</v>
      </c>
      <c r="CJ193" s="86" t="s">
        <v>4786</v>
      </c>
      <c r="CK193" s="86" t="s">
        <v>5474</v>
      </c>
      <c r="CL193" s="86" t="s">
        <v>877</v>
      </c>
      <c r="CM193" s="86" t="s">
        <v>878</v>
      </c>
      <c r="CN193" s="86" t="s">
        <v>879</v>
      </c>
      <c r="CO193" s="86" t="s">
        <v>880</v>
      </c>
      <c r="CP193" s="86" t="s">
        <v>881</v>
      </c>
      <c r="CQ193" s="86" t="s">
        <v>882</v>
      </c>
      <c r="CR193" s="86" t="s">
        <v>4787</v>
      </c>
      <c r="CS193" s="86" t="s">
        <v>4788</v>
      </c>
      <c r="CT193" s="86" t="s">
        <v>4789</v>
      </c>
      <c r="CU193" s="86" t="s">
        <v>4790</v>
      </c>
      <c r="CV193" s="86" t="s">
        <v>4791</v>
      </c>
      <c r="CW193" s="86" t="s">
        <v>4792</v>
      </c>
      <c r="CX193" s="86" t="s">
        <v>4793</v>
      </c>
      <c r="CY193" s="67" t="s">
        <v>4794</v>
      </c>
      <c r="CZ193" s="86" t="s">
        <v>1097</v>
      </c>
      <c r="DA193" s="86" t="s">
        <v>1098</v>
      </c>
      <c r="DB193" s="86" t="s">
        <v>1029</v>
      </c>
      <c r="DC193" s="86" t="s">
        <v>4795</v>
      </c>
      <c r="DD193" s="86" t="s">
        <v>4796</v>
      </c>
      <c r="DE193" s="86" t="s">
        <v>887</v>
      </c>
      <c r="DF193" s="86" t="s">
        <v>4797</v>
      </c>
      <c r="DG193" s="86" t="s">
        <v>4798</v>
      </c>
      <c r="DH193" s="86" t="s">
        <v>4799</v>
      </c>
      <c r="DI193" s="86" t="s">
        <v>888</v>
      </c>
      <c r="DJ193" s="86" t="s">
        <v>4800</v>
      </c>
      <c r="DK193" s="86" t="s">
        <v>4801</v>
      </c>
      <c r="DL193" s="86" t="s">
        <v>4802</v>
      </c>
      <c r="DM193" s="67" t="s">
        <v>4803</v>
      </c>
      <c r="DN193" s="86" t="s">
        <v>4804</v>
      </c>
      <c r="DO193" s="86" t="s">
        <v>4805</v>
      </c>
      <c r="DP193" s="86" t="s">
        <v>4806</v>
      </c>
      <c r="DQ193" s="86" t="s">
        <v>4807</v>
      </c>
      <c r="DR193" s="86" t="s">
        <v>889</v>
      </c>
      <c r="DS193" s="86" t="s">
        <v>890</v>
      </c>
      <c r="DT193" s="86" t="s">
        <v>891</v>
      </c>
      <c r="DU193" s="86" t="s">
        <v>892</v>
      </c>
      <c r="DV193" s="86" t="s">
        <v>893</v>
      </c>
      <c r="DW193" s="86" t="s">
        <v>894</v>
      </c>
      <c r="DX193" s="86" t="s">
        <v>895</v>
      </c>
      <c r="DY193" s="86" t="s">
        <v>896</v>
      </c>
      <c r="DZ193" s="67" t="s">
        <v>898</v>
      </c>
      <c r="EA193" s="67" t="s">
        <v>4808</v>
      </c>
      <c r="EB193" s="67" t="s">
        <v>4809</v>
      </c>
      <c r="EC193" s="67" t="s">
        <v>4810</v>
      </c>
      <c r="ED193" s="67" t="s">
        <v>4811</v>
      </c>
      <c r="EE193" s="67" t="s">
        <v>4812</v>
      </c>
      <c r="EF193" s="67" t="s">
        <v>4706</v>
      </c>
      <c r="EG193" s="67" t="s">
        <v>4707</v>
      </c>
      <c r="EH193" s="67" t="s">
        <v>4914</v>
      </c>
    </row>
    <row r="194" spans="36:138" x14ac:dyDescent="0.2">
      <c r="AJ194" s="12"/>
      <c r="AK194" s="77" t="s">
        <v>4062</v>
      </c>
      <c r="AL194" s="77" t="s">
        <v>958</v>
      </c>
      <c r="AM194" s="77" t="s">
        <v>957</v>
      </c>
      <c r="AN194" s="77" t="s">
        <v>4051</v>
      </c>
      <c r="AO194" s="77" t="s">
        <v>4225</v>
      </c>
      <c r="AP194" s="77" t="s">
        <v>4230</v>
      </c>
      <c r="AQ194" s="77" t="s">
        <v>4050</v>
      </c>
      <c r="AR194" s="77" t="s">
        <v>880</v>
      </c>
      <c r="AS194" s="77" t="s">
        <v>4041</v>
      </c>
      <c r="AT194" s="77" t="s">
        <v>4040</v>
      </c>
      <c r="AU194" s="77" t="s">
        <v>4049</v>
      </c>
      <c r="AV194" s="77" t="s">
        <v>4042</v>
      </c>
      <c r="AW194" s="77" t="s">
        <v>4052</v>
      </c>
      <c r="AX194" s="77" t="s">
        <v>4215</v>
      </c>
      <c r="AY194" s="77" t="s">
        <v>4054</v>
      </c>
      <c r="AZ194" s="77" t="s">
        <v>4227</v>
      </c>
      <c r="BA194" s="77" t="s">
        <v>4259</v>
      </c>
      <c r="BB194" s="77" t="s">
        <v>4237</v>
      </c>
      <c r="BC194" s="77" t="s">
        <v>4136</v>
      </c>
      <c r="BD194" s="77" t="s">
        <v>4064</v>
      </c>
      <c r="BE194" s="77" t="s">
        <v>4056</v>
      </c>
      <c r="BF194" s="77" t="s">
        <v>4057</v>
      </c>
      <c r="BG194" s="77" t="s">
        <v>4063</v>
      </c>
      <c r="BH194" s="77" t="s">
        <v>4065</v>
      </c>
      <c r="BI194" s="77" t="s">
        <v>4066</v>
      </c>
      <c r="BJ194" s="77" t="s">
        <v>4067</v>
      </c>
      <c r="BK194" s="77" t="s">
        <v>4058</v>
      </c>
      <c r="BL194" s="77" t="s">
        <v>4254</v>
      </c>
      <c r="BM194" s="77" t="s">
        <v>4059</v>
      </c>
      <c r="BN194" s="77" t="s">
        <v>4068</v>
      </c>
      <c r="BO194" s="77" t="s">
        <v>4060</v>
      </c>
      <c r="BP194" s="77" t="s">
        <v>4069</v>
      </c>
      <c r="BQ194" s="77" t="s">
        <v>4061</v>
      </c>
      <c r="BR194" s="77" t="s">
        <v>4070</v>
      </c>
      <c r="BS194" s="77" t="s">
        <v>4243</v>
      </c>
      <c r="BT194" s="77" t="s">
        <v>4071</v>
      </c>
      <c r="BU194" s="77" t="s">
        <v>894</v>
      </c>
      <c r="BV194" s="77" t="s">
        <v>1038</v>
      </c>
      <c r="BW194" s="67" t="s">
        <v>919</v>
      </c>
      <c r="BX194" s="67" t="s">
        <v>920</v>
      </c>
      <c r="BY194" s="86" t="s">
        <v>921</v>
      </c>
      <c r="BZ194" s="67" t="s">
        <v>922</v>
      </c>
      <c r="CA194" s="67" t="s">
        <v>923</v>
      </c>
      <c r="CB194" s="86" t="s">
        <v>924</v>
      </c>
      <c r="CC194" s="86" t="s">
        <v>925</v>
      </c>
      <c r="CD194" s="86" t="s">
        <v>926</v>
      </c>
      <c r="CE194" s="86" t="s">
        <v>927</v>
      </c>
      <c r="CF194" s="86" t="s">
        <v>875</v>
      </c>
      <c r="CG194" s="67" t="s">
        <v>918</v>
      </c>
      <c r="CH194" s="67" t="s">
        <v>928</v>
      </c>
      <c r="CI194" s="67" t="s">
        <v>929</v>
      </c>
      <c r="CJ194" s="86" t="s">
        <v>876</v>
      </c>
      <c r="CK194" s="86" t="s">
        <v>5474</v>
      </c>
      <c r="CL194" s="86" t="s">
        <v>877</v>
      </c>
      <c r="CM194" s="86" t="s">
        <v>878</v>
      </c>
      <c r="CN194" s="86" t="s">
        <v>879</v>
      </c>
      <c r="CO194" s="86" t="s">
        <v>880</v>
      </c>
      <c r="CP194" s="86" t="s">
        <v>930</v>
      </c>
      <c r="CQ194" s="86" t="s">
        <v>177</v>
      </c>
      <c r="CR194" s="86" t="s">
        <v>931</v>
      </c>
      <c r="CS194" s="86" t="s">
        <v>932</v>
      </c>
      <c r="CT194" s="86" t="s">
        <v>933</v>
      </c>
      <c r="CU194" s="86" t="s">
        <v>934</v>
      </c>
      <c r="CV194" s="86" t="s">
        <v>935</v>
      </c>
      <c r="CW194" s="86" t="s">
        <v>936</v>
      </c>
      <c r="CX194" s="86" t="s">
        <v>937</v>
      </c>
      <c r="CY194" s="67" t="s">
        <v>938</v>
      </c>
      <c r="CZ194" s="86" t="s">
        <v>939</v>
      </c>
      <c r="DA194" s="86" t="s">
        <v>940</v>
      </c>
      <c r="DB194" s="86" t="s">
        <v>941</v>
      </c>
      <c r="DC194" s="86" t="s">
        <v>942</v>
      </c>
      <c r="DD194" s="86" t="s">
        <v>943</v>
      </c>
      <c r="DE194" s="86" t="s">
        <v>887</v>
      </c>
      <c r="DF194" s="86" t="s">
        <v>944</v>
      </c>
      <c r="DG194" s="86" t="s">
        <v>945</v>
      </c>
      <c r="DH194" s="86" t="s">
        <v>946</v>
      </c>
      <c r="DI194" s="86" t="s">
        <v>947</v>
      </c>
      <c r="DJ194" s="86" t="s">
        <v>948</v>
      </c>
      <c r="DK194" s="86" t="s">
        <v>949</v>
      </c>
      <c r="DL194" s="86" t="s">
        <v>950</v>
      </c>
      <c r="DM194" s="67" t="s">
        <v>951</v>
      </c>
      <c r="DN194" s="86" t="s">
        <v>952</v>
      </c>
      <c r="DO194" s="86" t="s">
        <v>953</v>
      </c>
      <c r="DP194" s="86" t="s">
        <v>954</v>
      </c>
      <c r="DQ194" s="86" t="s">
        <v>955</v>
      </c>
      <c r="DR194" s="86" t="s">
        <v>889</v>
      </c>
      <c r="DS194" s="86" t="s">
        <v>890</v>
      </c>
      <c r="DT194" s="86" t="s">
        <v>891</v>
      </c>
      <c r="DU194" s="86" t="s">
        <v>892</v>
      </c>
      <c r="DV194" s="86" t="s">
        <v>956</v>
      </c>
      <c r="DW194" s="86" t="s">
        <v>894</v>
      </c>
      <c r="DX194" s="86" t="s">
        <v>895</v>
      </c>
      <c r="DY194" s="86" t="s">
        <v>896</v>
      </c>
      <c r="DZ194" s="67" t="s">
        <v>959</v>
      </c>
      <c r="EA194" s="67" t="s">
        <v>960</v>
      </c>
      <c r="EB194" s="77" t="s">
        <v>1039</v>
      </c>
      <c r="EC194" s="67" t="s">
        <v>962</v>
      </c>
      <c r="ED194" s="67" t="s">
        <v>963</v>
      </c>
      <c r="EE194" s="67" t="s">
        <v>964</v>
      </c>
      <c r="EF194" s="67" t="s">
        <v>965</v>
      </c>
      <c r="EG194" s="67" t="s">
        <v>966</v>
      </c>
      <c r="EH194" s="67"/>
    </row>
    <row r="195" spans="36:138" x14ac:dyDescent="0.2">
      <c r="AJ195" s="12"/>
      <c r="AK195" s="12" t="s">
        <v>246</v>
      </c>
      <c r="AL195" s="12" t="s">
        <v>1877</v>
      </c>
      <c r="AM195" s="12" t="s">
        <v>1877</v>
      </c>
      <c r="AN195" s="12" t="s">
        <v>4173</v>
      </c>
      <c r="AO195" s="12" t="s">
        <v>1883</v>
      </c>
      <c r="AP195" s="12" t="s">
        <v>1881</v>
      </c>
      <c r="AQ195" s="12" t="s">
        <v>1876</v>
      </c>
      <c r="AR195" s="12"/>
      <c r="AS195" s="12" t="s">
        <v>1883</v>
      </c>
      <c r="AT195" s="12" t="s">
        <v>1883</v>
      </c>
      <c r="AU195" s="12" t="s">
        <v>1883</v>
      </c>
      <c r="AV195" s="12" t="s">
        <v>1883</v>
      </c>
      <c r="AW195" s="12" t="s">
        <v>4182</v>
      </c>
      <c r="AX195" s="12" t="s">
        <v>1883</v>
      </c>
      <c r="AY195" s="12" t="s">
        <v>1883</v>
      </c>
      <c r="AZ195" s="12" t="s">
        <v>4184</v>
      </c>
      <c r="BA195" s="12" t="s">
        <v>1883</v>
      </c>
      <c r="BB195" s="12" t="s">
        <v>1883</v>
      </c>
      <c r="BC195" s="12" t="s">
        <v>1883</v>
      </c>
      <c r="BD195" s="12" t="s">
        <v>1881</v>
      </c>
      <c r="BE195" s="12" t="s">
        <v>1881</v>
      </c>
      <c r="BF195" s="12" t="s">
        <v>1881</v>
      </c>
      <c r="BG195" s="12" t="s">
        <v>1881</v>
      </c>
      <c r="BH195" s="12" t="s">
        <v>1883</v>
      </c>
      <c r="BI195" s="12" t="s">
        <v>1883</v>
      </c>
      <c r="BJ195" s="12" t="s">
        <v>1883</v>
      </c>
      <c r="BK195" s="12" t="s">
        <v>1883</v>
      </c>
      <c r="BL195" s="12" t="s">
        <v>4152</v>
      </c>
      <c r="BM195" s="12" t="s">
        <v>4173</v>
      </c>
      <c r="BN195" s="12" t="s">
        <v>1883</v>
      </c>
      <c r="BO195" s="12" t="s">
        <v>1883</v>
      </c>
      <c r="BP195" s="12" t="s">
        <v>1883</v>
      </c>
      <c r="BQ195" s="12" t="s">
        <v>1881</v>
      </c>
      <c r="BR195" s="12" t="s">
        <v>1883</v>
      </c>
      <c r="BS195" s="12" t="s">
        <v>1921</v>
      </c>
      <c r="BT195" s="12" t="s">
        <v>1884</v>
      </c>
      <c r="BU195" s="12" t="s">
        <v>1883</v>
      </c>
      <c r="BV195" s="12" t="s">
        <v>1883</v>
      </c>
      <c r="BW195" s="67" t="s">
        <v>1881</v>
      </c>
      <c r="BX195" s="67" t="s">
        <v>1881</v>
      </c>
      <c r="BY195" s="67" t="s">
        <v>1884</v>
      </c>
      <c r="BZ195" s="67" t="s">
        <v>1884</v>
      </c>
      <c r="CA195" s="67" t="s">
        <v>1884</v>
      </c>
      <c r="CB195" s="67" t="s">
        <v>1883</v>
      </c>
      <c r="CC195" s="67" t="s">
        <v>1884</v>
      </c>
      <c r="CD195" s="67" t="s">
        <v>1883</v>
      </c>
      <c r="CE195" s="67" t="s">
        <v>1883</v>
      </c>
      <c r="CF195" s="67" t="s">
        <v>1883</v>
      </c>
      <c r="CG195" s="67" t="s">
        <v>1884</v>
      </c>
      <c r="CH195" s="67" t="s">
        <v>1884</v>
      </c>
      <c r="CI195" s="67" t="s">
        <v>1884</v>
      </c>
      <c r="CJ195" s="67" t="s">
        <v>1884</v>
      </c>
      <c r="CK195" s="67" t="s">
        <v>342</v>
      </c>
      <c r="CL195" s="67" t="s">
        <v>1921</v>
      </c>
      <c r="CM195" s="67" t="s">
        <v>1922</v>
      </c>
      <c r="CN195" s="67" t="s">
        <v>1895</v>
      </c>
      <c r="CO195" s="67" t="s">
        <v>1881</v>
      </c>
      <c r="CP195" s="67" t="s">
        <v>1923</v>
      </c>
      <c r="CQ195" s="67" t="s">
        <v>1924</v>
      </c>
      <c r="CR195" s="67" t="s">
        <v>1881</v>
      </c>
      <c r="CS195" s="67" t="s">
        <v>1923</v>
      </c>
      <c r="CT195" s="67" t="s">
        <v>1923</v>
      </c>
      <c r="CU195" s="67" t="s">
        <v>1884</v>
      </c>
      <c r="CV195" s="67" t="s">
        <v>1884</v>
      </c>
      <c r="CW195" s="67" t="s">
        <v>1884</v>
      </c>
      <c r="CX195" s="67" t="s">
        <v>1923</v>
      </c>
      <c r="CY195" s="67" t="s">
        <v>1923</v>
      </c>
      <c r="CZ195" s="67" t="s">
        <v>1883</v>
      </c>
      <c r="DA195" s="67" t="s">
        <v>1883</v>
      </c>
      <c r="DB195" s="67" t="s">
        <v>1881</v>
      </c>
      <c r="DC195" s="67" t="s">
        <v>1925</v>
      </c>
      <c r="DD195" s="67"/>
      <c r="DE195" s="67" t="s">
        <v>1895</v>
      </c>
      <c r="DF195" s="67" t="s">
        <v>1895</v>
      </c>
      <c r="DG195" s="67" t="s">
        <v>1895</v>
      </c>
      <c r="DH195" s="67" t="s">
        <v>1895</v>
      </c>
      <c r="DI195" s="67" t="s">
        <v>1883</v>
      </c>
      <c r="DJ195" s="67" t="s">
        <v>1883</v>
      </c>
      <c r="DK195" s="67"/>
      <c r="DL195" s="67" t="s">
        <v>1883</v>
      </c>
      <c r="DM195" s="67"/>
      <c r="DN195" s="67"/>
      <c r="DO195" s="67"/>
      <c r="DP195" s="67"/>
      <c r="DQ195" s="67" t="s">
        <v>1883</v>
      </c>
      <c r="DR195" s="67"/>
      <c r="DS195" s="67" t="s">
        <v>1883</v>
      </c>
      <c r="DT195" s="67"/>
      <c r="DU195" s="67" t="s">
        <v>1884</v>
      </c>
      <c r="DV195" s="67" t="s">
        <v>1883</v>
      </c>
      <c r="DW195" s="67" t="s">
        <v>1883</v>
      </c>
      <c r="DX195" s="67" t="s">
        <v>1883</v>
      </c>
      <c r="DY195" s="67" t="s">
        <v>1883</v>
      </c>
      <c r="DZ195" s="67" t="s">
        <v>1883</v>
      </c>
      <c r="EA195" s="67" t="s">
        <v>1877</v>
      </c>
      <c r="EB195" s="67" t="s">
        <v>1883</v>
      </c>
      <c r="EC195" s="67" t="s">
        <v>1883</v>
      </c>
      <c r="ED195" s="67" t="s">
        <v>5525</v>
      </c>
      <c r="EE195" s="67" t="s">
        <v>1883</v>
      </c>
      <c r="EF195" s="67"/>
      <c r="EG195" s="67"/>
      <c r="EH195" s="67">
        <v>2</v>
      </c>
    </row>
    <row r="196" spans="36:138" x14ac:dyDescent="0.2">
      <c r="AJ196" s="12"/>
      <c r="AK196" s="12"/>
      <c r="AL196" s="12" t="s">
        <v>342</v>
      </c>
      <c r="AM196" s="12" t="s">
        <v>342</v>
      </c>
      <c r="AN196" s="12"/>
      <c r="AO196" s="12" t="s">
        <v>1881</v>
      </c>
      <c r="AP196" s="12" t="s">
        <v>4152</v>
      </c>
      <c r="AQ196" s="12" t="s">
        <v>1883</v>
      </c>
      <c r="AR196" s="12"/>
      <c r="AS196" s="12" t="s">
        <v>1876</v>
      </c>
      <c r="AT196" s="12" t="s">
        <v>4175</v>
      </c>
      <c r="AU196" s="12" t="s">
        <v>1881</v>
      </c>
      <c r="AV196" s="12" t="s">
        <v>4152</v>
      </c>
      <c r="AW196" s="12" t="s">
        <v>4181</v>
      </c>
      <c r="AX196" s="12" t="s">
        <v>1881</v>
      </c>
      <c r="AY196" s="12" t="s">
        <v>4152</v>
      </c>
      <c r="AZ196" s="12" t="s">
        <v>1883</v>
      </c>
      <c r="BA196" s="12"/>
      <c r="BB196" s="12"/>
      <c r="BC196" s="12" t="s">
        <v>1909</v>
      </c>
      <c r="BD196" s="12"/>
      <c r="BE196" s="12"/>
      <c r="BF196" s="12" t="s">
        <v>1883</v>
      </c>
      <c r="BG196" s="12" t="s">
        <v>1883</v>
      </c>
      <c r="BH196" s="12" t="s">
        <v>1881</v>
      </c>
      <c r="BI196" s="12"/>
      <c r="BJ196" s="12" t="s">
        <v>1881</v>
      </c>
      <c r="BK196" s="12" t="s">
        <v>4152</v>
      </c>
      <c r="BL196" s="12" t="s">
        <v>1884</v>
      </c>
      <c r="BM196" s="12" t="s">
        <v>1883</v>
      </c>
      <c r="BN196" s="12"/>
      <c r="BO196" s="12"/>
      <c r="BP196" s="12" t="s">
        <v>1881</v>
      </c>
      <c r="BQ196" s="12" t="s">
        <v>4152</v>
      </c>
      <c r="BR196" s="12"/>
      <c r="BS196" s="12"/>
      <c r="BT196" s="12" t="s">
        <v>1883</v>
      </c>
      <c r="BU196" s="12" t="s">
        <v>1889</v>
      </c>
      <c r="BV196" s="12" t="s">
        <v>1881</v>
      </c>
      <c r="BW196" s="67"/>
      <c r="BX196" s="67"/>
      <c r="BY196" s="67" t="s">
        <v>1883</v>
      </c>
      <c r="BZ196" s="67" t="s">
        <v>1883</v>
      </c>
      <c r="CA196" s="67" t="s">
        <v>1883</v>
      </c>
      <c r="CB196" s="67" t="s">
        <v>1909</v>
      </c>
      <c r="CC196" s="67" t="s">
        <v>1883</v>
      </c>
      <c r="CD196" s="67"/>
      <c r="CE196" s="67"/>
      <c r="CF196" s="67" t="s">
        <v>1909</v>
      </c>
      <c r="CG196" s="67" t="s">
        <v>1883</v>
      </c>
      <c r="CH196" s="67" t="s">
        <v>1883</v>
      </c>
      <c r="CI196" s="67" t="s">
        <v>1883</v>
      </c>
      <c r="CJ196" s="67" t="s">
        <v>1883</v>
      </c>
      <c r="CK196" s="67" t="s">
        <v>5494</v>
      </c>
      <c r="CL196" s="67" t="s">
        <v>1895</v>
      </c>
      <c r="CM196" s="67"/>
      <c r="CN196" s="67"/>
      <c r="CO196" s="67" t="s">
        <v>1883</v>
      </c>
      <c r="CP196" s="67"/>
      <c r="CQ196" s="67"/>
      <c r="CR196" s="67"/>
      <c r="CS196" s="67"/>
      <c r="CT196" s="67"/>
      <c r="CU196" s="67" t="s">
        <v>1883</v>
      </c>
      <c r="CV196" s="67" t="s">
        <v>1883</v>
      </c>
      <c r="CW196" s="67" t="s">
        <v>1883</v>
      </c>
      <c r="CX196" s="67"/>
      <c r="CY196" s="67"/>
      <c r="CZ196" s="67"/>
      <c r="DA196" s="67"/>
      <c r="DB196" s="67"/>
      <c r="DC196" s="67"/>
      <c r="DD196" s="67"/>
      <c r="DE196" s="67"/>
      <c r="DF196" s="67"/>
      <c r="DG196" s="67"/>
      <c r="DH196" s="67"/>
      <c r="DI196" s="67"/>
      <c r="DJ196" s="67"/>
      <c r="DK196" s="67"/>
      <c r="DL196" s="67"/>
      <c r="DM196" s="67"/>
      <c r="DN196" s="67"/>
      <c r="DO196" s="67"/>
      <c r="DP196" s="67"/>
      <c r="DQ196" s="67"/>
      <c r="DR196" s="67"/>
      <c r="DS196" s="67" t="s">
        <v>1881</v>
      </c>
      <c r="DT196" s="67"/>
      <c r="DU196" s="67"/>
      <c r="DV196" s="67"/>
      <c r="DW196" s="67" t="s">
        <v>1889</v>
      </c>
      <c r="DX196" s="67" t="s">
        <v>1889</v>
      </c>
      <c r="DY196" s="67" t="s">
        <v>1889</v>
      </c>
      <c r="DZ196" s="67"/>
      <c r="EA196" s="67"/>
      <c r="EB196" s="67"/>
      <c r="EC196" s="67"/>
      <c r="ED196" s="67"/>
      <c r="EE196" s="67" t="s">
        <v>1889</v>
      </c>
      <c r="EF196" s="67"/>
      <c r="EG196" s="67"/>
      <c r="EH196" s="67">
        <v>3</v>
      </c>
    </row>
    <row r="197" spans="36:138" x14ac:dyDescent="0.2">
      <c r="AJ197" s="12"/>
      <c r="AK197" s="12"/>
      <c r="AL197" s="12"/>
      <c r="AM197" s="12"/>
      <c r="AN197" s="12"/>
      <c r="AO197" s="12" t="s">
        <v>4151</v>
      </c>
      <c r="AP197" s="12" t="s">
        <v>1884</v>
      </c>
      <c r="AQ197" s="12" t="s">
        <v>342</v>
      </c>
      <c r="AR197" s="12"/>
      <c r="AS197" s="12" t="s">
        <v>4176</v>
      </c>
      <c r="AT197" s="12" t="s">
        <v>344</v>
      </c>
      <c r="AU197" s="12"/>
      <c r="AV197" s="12" t="s">
        <v>1881</v>
      </c>
      <c r="AW197" s="12"/>
      <c r="AX197" s="12"/>
      <c r="AY197" s="12" t="s">
        <v>1881</v>
      </c>
      <c r="AZ197" s="12" t="s">
        <v>1881</v>
      </c>
      <c r="BA197" s="12"/>
      <c r="BB197" s="12"/>
      <c r="BC197" s="12"/>
      <c r="BD197" s="12"/>
      <c r="BE197" s="12"/>
      <c r="BF197" s="12" t="s">
        <v>4152</v>
      </c>
      <c r="BG197" s="12"/>
      <c r="BH197" s="12"/>
      <c r="BI197" s="12"/>
      <c r="BJ197" s="12"/>
      <c r="BK197" s="12" t="s">
        <v>1881</v>
      </c>
      <c r="BL197" s="12" t="s">
        <v>1881</v>
      </c>
      <c r="BM197" s="12" t="s">
        <v>1881</v>
      </c>
      <c r="BN197" s="12"/>
      <c r="BO197" s="12"/>
      <c r="BP197" s="12" t="s">
        <v>4152</v>
      </c>
      <c r="BQ197" s="12" t="s">
        <v>1883</v>
      </c>
      <c r="BR197" s="12"/>
      <c r="BS197" s="12"/>
      <c r="BT197" s="12" t="s">
        <v>1923</v>
      </c>
      <c r="BU197" s="12"/>
      <c r="BV197" s="12" t="s">
        <v>1889</v>
      </c>
      <c r="BW197" s="67"/>
      <c r="BX197" s="67"/>
      <c r="BY197" s="67" t="s">
        <v>1923</v>
      </c>
      <c r="BZ197" s="67" t="s">
        <v>1923</v>
      </c>
      <c r="CA197" s="67" t="s">
        <v>1923</v>
      </c>
      <c r="CB197" s="67"/>
      <c r="CC197" s="67" t="s">
        <v>1923</v>
      </c>
      <c r="CD197" s="67"/>
      <c r="CE197" s="67"/>
      <c r="CF197" s="67"/>
      <c r="CG197" s="67" t="s">
        <v>1923</v>
      </c>
      <c r="CH197" s="67" t="s">
        <v>1923</v>
      </c>
      <c r="CI197" s="67" t="s">
        <v>1923</v>
      </c>
      <c r="CJ197" s="67" t="s">
        <v>1909</v>
      </c>
      <c r="CK197" s="67" t="s">
        <v>5495</v>
      </c>
      <c r="CL197" s="67"/>
      <c r="CM197" s="67"/>
      <c r="CN197" s="67"/>
      <c r="CO197" s="67"/>
      <c r="CP197" s="67"/>
      <c r="CQ197" s="67"/>
      <c r="CR197" s="67"/>
      <c r="CS197" s="67"/>
      <c r="CT197" s="67"/>
      <c r="CU197" s="67" t="s">
        <v>1923</v>
      </c>
      <c r="CV197" s="67" t="s">
        <v>1923</v>
      </c>
      <c r="CW197" s="67" t="s">
        <v>1923</v>
      </c>
      <c r="CX197" s="67"/>
      <c r="CY197" s="67"/>
      <c r="CZ197" s="67"/>
      <c r="DA197" s="67"/>
      <c r="DB197" s="67"/>
      <c r="DC197" s="67"/>
      <c r="DD197" s="67"/>
      <c r="DE197" s="67"/>
      <c r="DF197" s="67"/>
      <c r="DG197" s="67"/>
      <c r="DH197" s="67"/>
      <c r="DI197" s="67"/>
      <c r="DJ197" s="67"/>
      <c r="DK197" s="67"/>
      <c r="DL197" s="67"/>
      <c r="DM197" s="67"/>
      <c r="DN197" s="67"/>
      <c r="DO197" s="67"/>
      <c r="DP197" s="67"/>
      <c r="DQ197" s="67"/>
      <c r="DR197" s="67"/>
      <c r="DS197" s="67"/>
      <c r="DT197" s="67"/>
      <c r="DU197" s="67"/>
      <c r="DV197" s="67"/>
      <c r="DW197" s="67"/>
      <c r="DX197" s="67"/>
      <c r="DY197" s="67"/>
      <c r="DZ197" s="67"/>
      <c r="EA197" s="67"/>
      <c r="EB197" s="67"/>
      <c r="EC197" s="67"/>
      <c r="ED197" s="67"/>
      <c r="EE197" s="67"/>
      <c r="EF197" s="67"/>
      <c r="EG197" s="67"/>
      <c r="EH197" s="67">
        <v>4</v>
      </c>
    </row>
    <row r="198" spans="36:138" x14ac:dyDescent="0.2">
      <c r="AJ198" s="12"/>
      <c r="AK198" s="12"/>
      <c r="AL198" s="12"/>
      <c r="AM198" s="12"/>
      <c r="AN198" s="12"/>
      <c r="AO198" s="12"/>
      <c r="AP198" s="12"/>
      <c r="AQ198" s="12" t="s">
        <v>1884</v>
      </c>
      <c r="AR198" s="12"/>
      <c r="AS198" s="12"/>
      <c r="AT198" s="12" t="s">
        <v>1884</v>
      </c>
      <c r="AU198" s="12"/>
      <c r="AV198" s="12" t="s">
        <v>4177</v>
      </c>
      <c r="AW198" s="12"/>
      <c r="AX198" s="12"/>
      <c r="AY198" s="12"/>
      <c r="AZ198" s="12"/>
      <c r="BA198" s="12"/>
      <c r="BB198" s="12"/>
      <c r="BC198" s="12"/>
      <c r="BD198" s="12"/>
      <c r="BE198" s="12"/>
      <c r="BF198" s="12"/>
      <c r="BG198" s="12"/>
      <c r="BH198" s="12"/>
      <c r="BI198" s="12"/>
      <c r="BJ198" s="12"/>
      <c r="BK198" s="12"/>
      <c r="BL198" s="12"/>
      <c r="BM198" s="12"/>
      <c r="BN198" s="12"/>
      <c r="BO198" s="12"/>
      <c r="BP198" s="12"/>
      <c r="BQ198" s="12"/>
      <c r="BR198" s="12"/>
      <c r="BS198" s="12"/>
      <c r="BT198" s="12" t="s">
        <v>1881</v>
      </c>
      <c r="BU198" s="12"/>
      <c r="BV198" s="12"/>
      <c r="BW198" s="67"/>
      <c r="BX198" s="67"/>
      <c r="BY198" s="67"/>
      <c r="BZ198" s="67"/>
      <c r="CA198" s="67"/>
      <c r="CB198" s="67"/>
      <c r="CC198" s="67"/>
      <c r="CD198" s="67"/>
      <c r="CE198" s="67"/>
      <c r="CF198" s="67"/>
      <c r="CG198" s="67"/>
      <c r="CH198" s="67"/>
      <c r="CI198" s="67"/>
      <c r="CJ198" s="67"/>
      <c r="CK198" s="67"/>
      <c r="CL198" s="67"/>
      <c r="CM198" s="67"/>
      <c r="CN198" s="67"/>
      <c r="CO198" s="67"/>
      <c r="CP198" s="67"/>
      <c r="CQ198" s="67"/>
      <c r="CR198" s="67"/>
      <c r="CS198" s="67"/>
      <c r="CT198" s="67"/>
      <c r="CU198" s="67"/>
      <c r="CV198" s="67"/>
      <c r="CW198" s="67"/>
      <c r="CX198" s="67"/>
      <c r="CY198" s="67"/>
      <c r="CZ198" s="67"/>
      <c r="DA198" s="67"/>
      <c r="DB198" s="67"/>
      <c r="DC198" s="67"/>
      <c r="DD198" s="67"/>
      <c r="DE198" s="67"/>
      <c r="DF198" s="67"/>
      <c r="DG198" s="67"/>
      <c r="DH198" s="67"/>
      <c r="DI198" s="67"/>
      <c r="DJ198" s="67"/>
      <c r="DK198" s="67"/>
      <c r="DL198" s="67"/>
      <c r="DM198" s="67"/>
      <c r="DN198" s="67"/>
      <c r="DO198" s="67"/>
      <c r="DP198" s="67"/>
      <c r="DQ198" s="67"/>
      <c r="DR198" s="67"/>
      <c r="DS198" s="67"/>
      <c r="DT198" s="67"/>
      <c r="DU198" s="67"/>
      <c r="DV198" s="67"/>
      <c r="DW198" s="67"/>
      <c r="DX198" s="67"/>
      <c r="DY198" s="67"/>
      <c r="DZ198" s="67"/>
      <c r="EA198" s="67"/>
      <c r="EB198" s="67"/>
      <c r="EC198" s="67"/>
      <c r="ED198" s="67"/>
      <c r="EE198" s="67"/>
      <c r="EF198" s="67"/>
      <c r="EG198" s="67"/>
      <c r="EH198" s="67">
        <v>5</v>
      </c>
    </row>
    <row r="200" spans="36:138" x14ac:dyDescent="0.2">
      <c r="AJ200" s="12" t="s">
        <v>1892</v>
      </c>
      <c r="AK200" s="12" t="str">
        <f>HLOOKUP(Stats!$B$2,Taulukko17[[Dragonborn]:[Hakua varten]],EH182,0)</f>
        <v>Dusky</v>
      </c>
      <c r="AL200" s="12"/>
      <c r="AM200" s="12" t="s">
        <v>1911</v>
      </c>
      <c r="AN200" s="12" t="str">
        <f>HLOOKUP(Stats!$B$2,Taulukko18[[Dragonborn]:[Hakua varten]],EH188,0)</f>
        <v>Dark</v>
      </c>
      <c r="AO200" s="12"/>
      <c r="AP200" s="12" t="s">
        <v>1920</v>
      </c>
      <c r="AQ200" s="12" t="str">
        <f>HLOOKUP(Stats!$B$2,Taulukko19[[Dragonborn]:[Hakua varten]],EH195,0)</f>
        <v>Black</v>
      </c>
    </row>
    <row r="201" spans="36:138" x14ac:dyDescent="0.2">
      <c r="AJ201" s="12"/>
      <c r="AK201" s="12">
        <f>HLOOKUP(Stats!$B$2,Taulukko17[[Dragonborn]:[Hakua varten]],EH183,0)</f>
        <v>0</v>
      </c>
      <c r="AL201" s="12"/>
      <c r="AM201" s="12"/>
      <c r="AN201" s="12">
        <f>HLOOKUP(Stats!$B$2,Taulukko18[[Dragonborn]:[Hakua varten]],EH189,0)</f>
        <v>0</v>
      </c>
      <c r="AO201" s="12"/>
      <c r="AP201" s="12"/>
      <c r="AQ201" s="12">
        <f>HLOOKUP(Stats!$B$2,Taulukko19[[Dragonborn]:[Hakua varten]],EH196,0)</f>
        <v>0</v>
      </c>
    </row>
    <row r="202" spans="36:138" x14ac:dyDescent="0.2">
      <c r="AJ202" s="12"/>
      <c r="AK202" s="12">
        <f>HLOOKUP(Stats!$B$2,Taulukko17[[Dragonborn]:[Hakua varten]],EH184,0)</f>
        <v>0</v>
      </c>
      <c r="AL202" s="12"/>
      <c r="AM202" s="12"/>
      <c r="AN202" s="12">
        <f>HLOOKUP(Stats!$B$2,Taulukko18[[Dragonborn]:[Hakua varten]],EH190,0)</f>
        <v>0</v>
      </c>
      <c r="AO202" s="12"/>
      <c r="AP202" s="12"/>
      <c r="AQ202" s="12">
        <f>HLOOKUP(Stats!$B$2,Taulukko19[[Dragonborn]:[Hakua varten]],EH197,0)</f>
        <v>0</v>
      </c>
    </row>
    <row r="203" spans="36:138" x14ac:dyDescent="0.2">
      <c r="AJ203" s="12"/>
      <c r="AK203" s="12"/>
      <c r="AL203" s="12"/>
      <c r="AM203" s="12"/>
      <c r="AN203" s="12">
        <f>HLOOKUP(Stats!$B$2,Taulukko18[[Dragonborn]:[Hakua varten]],EH191,0)</f>
        <v>0</v>
      </c>
      <c r="AO203" s="12"/>
      <c r="AP203" s="12"/>
      <c r="AQ203" s="12">
        <f>HLOOKUP(Stats!$B$2,Taulukko19[[Dragonborn]:[Hakua varten]],EH198,0)</f>
        <v>0</v>
      </c>
    </row>
    <row r="204" spans="36:138" x14ac:dyDescent="0.2">
      <c r="AJ204" s="12"/>
      <c r="AK204" s="12"/>
      <c r="AL204" s="12"/>
      <c r="AM204" s="12"/>
      <c r="AN204" s="12"/>
      <c r="AO204" s="12"/>
      <c r="AP204" s="12"/>
      <c r="AQ204" s="12"/>
    </row>
  </sheetData>
  <sortState xmlns:xlrd2="http://schemas.microsoft.com/office/spreadsheetml/2017/richdata2" ref="EN73:EN111">
    <sortCondition ref="EN72"/>
  </sortState>
  <pageMargins left="0.7" right="0.7" top="0.75" bottom="0.75" header="0.3" footer="0.3"/>
  <tableParts count="12">
    <tablePart r:id="rId1"/>
    <tablePart r:id="rId2"/>
    <tablePart r:id="rId3"/>
    <tablePart r:id="rId4"/>
    <tablePart r:id="rId5"/>
    <tablePart r:id="rId6"/>
    <tablePart r:id="rId7"/>
    <tablePart r:id="rId8"/>
    <tablePart r:id="rId9"/>
    <tablePart r:id="rId10"/>
    <tablePart r:id="rId11"/>
    <tablePart r:id="rId1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BT202"/>
  <sheetViews>
    <sheetView workbookViewId="0">
      <selection activeCell="BN2" sqref="BN2"/>
    </sheetView>
  </sheetViews>
  <sheetFormatPr defaultColWidth="6.5703125" defaultRowHeight="9.75" x14ac:dyDescent="0.2"/>
  <cols>
    <col min="1" max="2" width="10.85546875" style="12" customWidth="1"/>
    <col min="3" max="3" width="6.5703125" style="12"/>
    <col min="4" max="4" width="8" style="12" bestFit="1" customWidth="1"/>
    <col min="5" max="5" width="8.42578125" style="12" bestFit="1" customWidth="1"/>
    <col min="6" max="6" width="6.5703125" style="12"/>
    <col min="7" max="7" width="8.42578125" style="12" bestFit="1" customWidth="1"/>
    <col min="8" max="16384" width="6.5703125" style="12"/>
  </cols>
  <sheetData>
    <row r="2" spans="1:72" x14ac:dyDescent="0.2">
      <c r="A2" s="12" t="s">
        <v>3479</v>
      </c>
      <c r="B2" s="12" t="s">
        <v>3480</v>
      </c>
      <c r="G2" s="12" t="s">
        <v>1142</v>
      </c>
      <c r="H2" s="77" t="s">
        <v>4050</v>
      </c>
      <c r="I2" s="77" t="s">
        <v>4247</v>
      </c>
      <c r="J2" s="77" t="s">
        <v>4064</v>
      </c>
      <c r="K2" s="77" t="s">
        <v>4056</v>
      </c>
      <c r="L2" s="77" t="s">
        <v>4057</v>
      </c>
      <c r="M2" s="77" t="s">
        <v>894</v>
      </c>
      <c r="N2" s="77" t="s">
        <v>4063</v>
      </c>
      <c r="O2" s="77" t="s">
        <v>4052</v>
      </c>
      <c r="P2" s="77" t="s">
        <v>4062</v>
      </c>
      <c r="Q2" s="77" t="s">
        <v>958</v>
      </c>
      <c r="R2" s="77" t="s">
        <v>957</v>
      </c>
      <c r="S2" s="77" t="s">
        <v>4065</v>
      </c>
      <c r="T2" s="77" t="s">
        <v>4215</v>
      </c>
      <c r="U2" s="77" t="s">
        <v>4227</v>
      </c>
      <c r="V2" s="77" t="s">
        <v>4226</v>
      </c>
      <c r="W2" s="77" t="s">
        <v>4066</v>
      </c>
      <c r="X2" s="77" t="s">
        <v>880</v>
      </c>
      <c r="Y2" s="77" t="s">
        <v>1038</v>
      </c>
      <c r="Z2" s="77" t="s">
        <v>4067</v>
      </c>
      <c r="AA2" s="77" t="s">
        <v>4225</v>
      </c>
      <c r="AB2" s="77" t="s">
        <v>4058</v>
      </c>
      <c r="AC2" s="77" t="s">
        <v>4254</v>
      </c>
      <c r="AD2" s="77" t="s">
        <v>4259</v>
      </c>
      <c r="AE2" s="77" t="s">
        <v>4041</v>
      </c>
      <c r="AF2" s="77" t="s">
        <v>4230</v>
      </c>
      <c r="AG2" s="77" t="s">
        <v>4059</v>
      </c>
      <c r="AH2" s="77" t="s">
        <v>4068</v>
      </c>
      <c r="AI2" s="77" t="s">
        <v>4060</v>
      </c>
      <c r="AJ2" s="77" t="s">
        <v>4054</v>
      </c>
      <c r="AK2" s="77" t="s">
        <v>4069</v>
      </c>
      <c r="AL2" s="77" t="s">
        <v>4237</v>
      </c>
      <c r="AM2" s="77" t="s">
        <v>4040</v>
      </c>
      <c r="AN2" s="77" t="s">
        <v>4061</v>
      </c>
      <c r="AO2" s="77" t="s">
        <v>4070</v>
      </c>
      <c r="AP2" s="77" t="s">
        <v>4243</v>
      </c>
      <c r="AQ2" s="77" t="s">
        <v>4071</v>
      </c>
      <c r="AR2" s="77" t="s">
        <v>4049</v>
      </c>
      <c r="AS2" s="77" t="s">
        <v>4042</v>
      </c>
      <c r="AT2" s="67" t="s">
        <v>876</v>
      </c>
      <c r="AU2" s="67" t="s">
        <v>5474</v>
      </c>
      <c r="AV2" s="67" t="s">
        <v>877</v>
      </c>
      <c r="AW2" s="67" t="s">
        <v>941</v>
      </c>
      <c r="AX2" s="67" t="s">
        <v>3481</v>
      </c>
      <c r="AY2" s="67" t="s">
        <v>881</v>
      </c>
      <c r="AZ2" s="67" t="s">
        <v>888</v>
      </c>
      <c r="BA2" s="67" t="s">
        <v>1015</v>
      </c>
      <c r="BB2" s="67" t="s">
        <v>917</v>
      </c>
      <c r="BC2" s="67" t="s">
        <v>4916</v>
      </c>
      <c r="BD2" s="67" t="s">
        <v>992</v>
      </c>
      <c r="BE2" s="67" t="s">
        <v>956</v>
      </c>
      <c r="BF2" s="67" t="s">
        <v>892</v>
      </c>
      <c r="BG2" s="67" t="s">
        <v>887</v>
      </c>
      <c r="BH2" s="67" t="s">
        <v>879</v>
      </c>
      <c r="BI2" s="67" t="s">
        <v>878</v>
      </c>
      <c r="BJ2" s="67" t="s">
        <v>1034</v>
      </c>
      <c r="BK2" s="67" t="s">
        <v>942</v>
      </c>
      <c r="BL2" s="67" t="s">
        <v>943</v>
      </c>
      <c r="BM2" s="67" t="s">
        <v>1130</v>
      </c>
      <c r="BN2" s="67" t="s">
        <v>3483</v>
      </c>
      <c r="BO2" s="67" t="s">
        <v>3484</v>
      </c>
      <c r="BP2" s="67" t="s">
        <v>959</v>
      </c>
      <c r="BQ2" s="12" t="s">
        <v>963</v>
      </c>
      <c r="BR2" s="12" t="s">
        <v>960</v>
      </c>
      <c r="BS2" s="12" t="s">
        <v>962</v>
      </c>
      <c r="BT2" s="12" t="s">
        <v>964</v>
      </c>
    </row>
    <row r="3" spans="1:72" x14ac:dyDescent="0.2">
      <c r="A3" s="12">
        <v>1</v>
      </c>
      <c r="B3" s="23" t="s">
        <v>3485</v>
      </c>
      <c r="C3" s="23"/>
      <c r="D3" s="12">
        <v>14.99</v>
      </c>
      <c r="E3" s="23"/>
      <c r="F3" s="61"/>
      <c r="G3" s="23">
        <v>1</v>
      </c>
      <c r="H3" s="23">
        <v>2</v>
      </c>
      <c r="I3" s="61">
        <v>3</v>
      </c>
      <c r="J3" s="23">
        <v>4</v>
      </c>
      <c r="K3" s="61">
        <v>5</v>
      </c>
      <c r="L3" s="23">
        <v>6</v>
      </c>
      <c r="M3" s="61">
        <v>7</v>
      </c>
      <c r="N3" s="23">
        <v>8</v>
      </c>
      <c r="O3" s="61">
        <v>9</v>
      </c>
      <c r="P3" s="23">
        <v>10</v>
      </c>
      <c r="Q3" s="61">
        <v>11</v>
      </c>
      <c r="R3" s="23">
        <v>12</v>
      </c>
      <c r="S3" s="61">
        <v>13</v>
      </c>
      <c r="T3" s="23">
        <v>14</v>
      </c>
      <c r="U3" s="61">
        <v>15</v>
      </c>
      <c r="V3" s="23">
        <v>16</v>
      </c>
      <c r="W3" s="61">
        <v>17</v>
      </c>
      <c r="X3" s="23">
        <v>18</v>
      </c>
      <c r="Y3" s="12">
        <v>19</v>
      </c>
      <c r="Z3" s="12">
        <v>20</v>
      </c>
      <c r="AA3" s="12">
        <v>21</v>
      </c>
      <c r="AB3" s="12">
        <v>22</v>
      </c>
      <c r="AC3" s="12">
        <v>23</v>
      </c>
      <c r="AD3" s="12">
        <v>24</v>
      </c>
      <c r="AE3" s="12">
        <v>25</v>
      </c>
      <c r="AF3" s="12">
        <v>26</v>
      </c>
      <c r="AG3" s="12">
        <v>27</v>
      </c>
      <c r="AH3" s="12">
        <v>28</v>
      </c>
      <c r="AI3" s="12">
        <v>29</v>
      </c>
      <c r="AJ3" s="12">
        <v>30</v>
      </c>
      <c r="AK3" s="12">
        <v>31</v>
      </c>
      <c r="AL3" s="12">
        <v>32</v>
      </c>
      <c r="AM3" s="12">
        <v>33</v>
      </c>
      <c r="AN3" s="12">
        <v>34</v>
      </c>
      <c r="AO3" s="12">
        <v>35</v>
      </c>
      <c r="AP3" s="12">
        <v>36</v>
      </c>
      <c r="AQ3" s="12">
        <v>37</v>
      </c>
      <c r="AR3" s="12">
        <v>38</v>
      </c>
      <c r="AS3" s="12">
        <v>39</v>
      </c>
      <c r="AT3" s="12">
        <v>40</v>
      </c>
      <c r="AU3" s="12">
        <v>41</v>
      </c>
      <c r="AV3" s="12">
        <v>42</v>
      </c>
      <c r="AW3" s="12">
        <v>43</v>
      </c>
      <c r="AX3" s="12">
        <v>44</v>
      </c>
      <c r="AY3" s="12">
        <v>45</v>
      </c>
      <c r="AZ3" s="12">
        <v>46</v>
      </c>
      <c r="BA3" s="12">
        <v>47</v>
      </c>
      <c r="BB3" s="12">
        <v>48</v>
      </c>
      <c r="BC3" s="12">
        <v>49</v>
      </c>
      <c r="BD3" s="12">
        <v>50</v>
      </c>
      <c r="BE3" s="12">
        <v>51</v>
      </c>
      <c r="BF3" s="12">
        <v>52</v>
      </c>
      <c r="BG3" s="12">
        <v>53</v>
      </c>
      <c r="BH3" s="12">
        <v>54</v>
      </c>
      <c r="BI3" s="12">
        <v>55</v>
      </c>
      <c r="BJ3" s="12">
        <v>56</v>
      </c>
      <c r="BK3" s="12">
        <v>57</v>
      </c>
      <c r="BL3" s="12">
        <v>58</v>
      </c>
      <c r="BM3" s="12">
        <v>59</v>
      </c>
      <c r="BN3" s="12">
        <v>60</v>
      </c>
      <c r="BO3" s="12">
        <v>61</v>
      </c>
      <c r="BP3" s="67">
        <v>62</v>
      </c>
      <c r="BQ3" s="12">
        <v>63</v>
      </c>
      <c r="BR3" s="12">
        <v>64</v>
      </c>
      <c r="BS3" s="12">
        <v>65</v>
      </c>
      <c r="BT3" s="12">
        <v>66</v>
      </c>
    </row>
    <row r="4" spans="1:72" x14ac:dyDescent="0.2">
      <c r="A4" s="12">
        <v>15.99</v>
      </c>
      <c r="B4" s="12" t="s">
        <v>3486</v>
      </c>
      <c r="C4" s="42"/>
      <c r="D4" s="12">
        <v>15.99</v>
      </c>
      <c r="E4" s="42"/>
      <c r="F4" s="43">
        <v>1</v>
      </c>
      <c r="G4" s="12">
        <v>-5000</v>
      </c>
      <c r="H4" s="42">
        <f>H5-(0.0254*1.8)</f>
        <v>1.3045599999999993</v>
      </c>
      <c r="I4" s="42">
        <f t="shared" ref="I4:AS4" si="0">I5-(0.0254*1.8)</f>
        <v>1.2307599999999994</v>
      </c>
      <c r="J4" s="42">
        <f t="shared" si="0"/>
        <v>1.2815599999999994</v>
      </c>
      <c r="K4" s="42">
        <f t="shared" si="0"/>
        <v>1.2561599999999993</v>
      </c>
      <c r="L4" s="42">
        <f t="shared" si="0"/>
        <v>1.3045599999999993</v>
      </c>
      <c r="M4" s="42">
        <f t="shared" si="0"/>
        <v>1.441859999999999</v>
      </c>
      <c r="N4" s="42">
        <f t="shared" si="0"/>
        <v>1.2815599999999994</v>
      </c>
      <c r="O4" s="42">
        <f t="shared" si="0"/>
        <v>0.55456000000000005</v>
      </c>
      <c r="P4" s="42">
        <f t="shared" si="0"/>
        <v>1.5053599999999991</v>
      </c>
      <c r="Q4" s="42">
        <f t="shared" si="0"/>
        <v>1.0807599999999991</v>
      </c>
      <c r="R4" s="42">
        <f t="shared" si="0"/>
        <v>1.0807599999999991</v>
      </c>
      <c r="S4" s="42">
        <f t="shared" si="0"/>
        <v>1.3323599999999993</v>
      </c>
      <c r="T4" s="42">
        <f t="shared" si="0"/>
        <v>0.31806000000000023</v>
      </c>
      <c r="U4" s="42">
        <f t="shared" si="0"/>
        <v>0.53156000000000014</v>
      </c>
      <c r="V4" s="42">
        <f t="shared" si="0"/>
        <v>0.90535999999999928</v>
      </c>
      <c r="W4" s="42">
        <f t="shared" si="0"/>
        <v>1.2307599999999994</v>
      </c>
      <c r="X4" s="42">
        <f t="shared" si="0"/>
        <v>1.3172599999999992</v>
      </c>
      <c r="Y4" s="42">
        <f t="shared" si="0"/>
        <v>1.3934599999999993</v>
      </c>
      <c r="Z4" s="42">
        <f t="shared" si="0"/>
        <v>1.2815599999999994</v>
      </c>
      <c r="AA4" s="42">
        <f t="shared" si="0"/>
        <v>0.83155999999999941</v>
      </c>
      <c r="AB4" s="42">
        <f t="shared" si="0"/>
        <v>1.3299599999999991</v>
      </c>
      <c r="AC4" s="42">
        <f t="shared" si="0"/>
        <v>1.3426599999999993</v>
      </c>
      <c r="AD4" s="42">
        <f t="shared" si="0"/>
        <v>0.50616000000000005</v>
      </c>
      <c r="AE4" s="42">
        <f t="shared" si="0"/>
        <v>1.3045599999999993</v>
      </c>
      <c r="AF4" s="42">
        <f t="shared" si="0"/>
        <v>0.95615999999999923</v>
      </c>
      <c r="AG4" s="42">
        <f t="shared" si="0"/>
        <v>1.3069599999999992</v>
      </c>
      <c r="AH4" s="42">
        <f t="shared" si="0"/>
        <v>1.2537599999999993</v>
      </c>
      <c r="AI4" s="42">
        <f t="shared" si="0"/>
        <v>1.2307599999999994</v>
      </c>
      <c r="AJ4" s="42">
        <f t="shared" si="0"/>
        <v>0.6053599999999999</v>
      </c>
      <c r="AK4" s="42">
        <f t="shared" si="0"/>
        <v>1.2815599999999994</v>
      </c>
      <c r="AL4" s="42">
        <f t="shared" si="0"/>
        <v>0.53156000000000014</v>
      </c>
      <c r="AM4" s="42">
        <f t="shared" si="0"/>
        <v>1.3045599999999993</v>
      </c>
      <c r="AN4" s="42">
        <f t="shared" si="0"/>
        <v>1.2815599999999994</v>
      </c>
      <c r="AO4" s="42">
        <f t="shared" si="0"/>
        <v>1.3323599999999993</v>
      </c>
      <c r="AP4" s="42">
        <f t="shared" si="0"/>
        <v>0.97915999999999914</v>
      </c>
      <c r="AQ4" s="42">
        <f t="shared" si="0"/>
        <v>1.3323599999999993</v>
      </c>
      <c r="AR4" s="42">
        <f t="shared" si="0"/>
        <v>1.3045599999999993</v>
      </c>
      <c r="AS4" s="42">
        <f t="shared" si="0"/>
        <v>1.3045599999999993</v>
      </c>
      <c r="AT4" s="92">
        <f t="shared" ref="AT4:BR16" si="1">AT5-0.0254</f>
        <v>1.2245999999999999</v>
      </c>
      <c r="AU4" s="92">
        <f t="shared" si="1"/>
        <v>1.5697999999999988</v>
      </c>
      <c r="AV4" s="92">
        <f t="shared" si="1"/>
        <v>1.6497999999999988</v>
      </c>
      <c r="AW4" s="92">
        <f t="shared" si="1"/>
        <v>0.6998000000000002</v>
      </c>
      <c r="AX4" s="92">
        <f t="shared" si="1"/>
        <v>1.4197999999999988</v>
      </c>
      <c r="AY4" s="92">
        <f t="shared" si="1"/>
        <v>1.4997999999999989</v>
      </c>
      <c r="AZ4" s="92">
        <f t="shared" si="1"/>
        <v>1.3197999999999988</v>
      </c>
      <c r="BA4" s="92">
        <f t="shared" si="1"/>
        <v>1.2997999999999987</v>
      </c>
      <c r="BB4" s="92">
        <f t="shared" si="1"/>
        <v>1.5697999999999988</v>
      </c>
      <c r="BC4" s="92">
        <f t="shared" si="1"/>
        <v>0.86979999999999946</v>
      </c>
      <c r="BD4" s="92">
        <f t="shared" si="1"/>
        <v>2.9698000000000015</v>
      </c>
      <c r="BE4" s="92">
        <f t="shared" si="1"/>
        <v>1.2245999999999999</v>
      </c>
      <c r="BF4" s="92">
        <f t="shared" si="1"/>
        <v>1.2245999999999999</v>
      </c>
      <c r="BG4" s="92">
        <f t="shared" si="1"/>
        <v>1.2997999999999987</v>
      </c>
      <c r="BH4" s="92">
        <f t="shared" si="1"/>
        <v>1.599799999999999</v>
      </c>
      <c r="BI4" s="92">
        <f t="shared" si="1"/>
        <v>1.4697999999999989</v>
      </c>
      <c r="BJ4" s="92">
        <f t="shared" si="1"/>
        <v>1.5497999999999987</v>
      </c>
      <c r="BK4" s="92">
        <f t="shared" si="1"/>
        <v>0.74980000000000002</v>
      </c>
      <c r="BL4" s="92">
        <f t="shared" si="1"/>
        <v>0.79979999999999962</v>
      </c>
      <c r="BM4" s="92">
        <f t="shared" si="1"/>
        <v>1.3197999999999988</v>
      </c>
      <c r="BN4" s="92">
        <f t="shared" si="1"/>
        <v>1.7997999999999998</v>
      </c>
      <c r="BO4" s="92">
        <f t="shared" si="1"/>
        <v>1.369799999999999</v>
      </c>
      <c r="BP4" s="92">
        <f t="shared" ref="BP4:BT16" si="2">BP5-0.0254</f>
        <v>3.2698000000000018</v>
      </c>
      <c r="BQ4" s="92">
        <f t="shared" si="2"/>
        <v>2.3698000000000019</v>
      </c>
      <c r="BR4" s="92">
        <f t="shared" si="2"/>
        <v>2.9698000000000015</v>
      </c>
      <c r="BS4" s="92">
        <f t="shared" si="2"/>
        <v>2.8198000000000016</v>
      </c>
      <c r="BT4" s="92">
        <f t="shared" si="2"/>
        <v>2.3948000000000018</v>
      </c>
    </row>
    <row r="5" spans="1:72" x14ac:dyDescent="0.2">
      <c r="A5" s="12">
        <v>18.489999999999998</v>
      </c>
      <c r="B5" s="12" t="s">
        <v>3487</v>
      </c>
      <c r="C5" s="42"/>
      <c r="D5" s="12">
        <v>18.489999999999998</v>
      </c>
      <c r="E5" s="42"/>
      <c r="F5" s="43">
        <v>2</v>
      </c>
      <c r="G5" s="12">
        <v>-190</v>
      </c>
      <c r="H5" s="42">
        <f>H6-(0.0254*1.7)</f>
        <v>1.3502799999999993</v>
      </c>
      <c r="I5" s="42">
        <f t="shared" ref="I5:AS5" si="3">I6-(0.0254*1.7)</f>
        <v>1.2764799999999994</v>
      </c>
      <c r="J5" s="42">
        <f t="shared" si="3"/>
        <v>1.3272799999999993</v>
      </c>
      <c r="K5" s="42">
        <f t="shared" si="3"/>
        <v>1.3018799999999993</v>
      </c>
      <c r="L5" s="42">
        <f t="shared" si="3"/>
        <v>1.3502799999999993</v>
      </c>
      <c r="M5" s="42">
        <f t="shared" si="3"/>
        <v>1.487579999999999</v>
      </c>
      <c r="N5" s="42">
        <f t="shared" si="3"/>
        <v>1.3272799999999993</v>
      </c>
      <c r="O5" s="42">
        <f t="shared" si="3"/>
        <v>0.60028000000000004</v>
      </c>
      <c r="P5" s="42">
        <f t="shared" si="3"/>
        <v>1.5510799999999991</v>
      </c>
      <c r="Q5" s="42">
        <f t="shared" si="3"/>
        <v>1.126479999999999</v>
      </c>
      <c r="R5" s="42">
        <f t="shared" si="3"/>
        <v>1.126479999999999</v>
      </c>
      <c r="S5" s="42">
        <f t="shared" si="3"/>
        <v>1.3780799999999993</v>
      </c>
      <c r="T5" s="42">
        <f t="shared" si="3"/>
        <v>0.36378000000000021</v>
      </c>
      <c r="U5" s="42">
        <f t="shared" si="3"/>
        <v>0.57728000000000013</v>
      </c>
      <c r="V5" s="42">
        <f t="shared" si="3"/>
        <v>0.95107999999999926</v>
      </c>
      <c r="W5" s="42">
        <f t="shared" si="3"/>
        <v>1.2764799999999994</v>
      </c>
      <c r="X5" s="42">
        <f t="shared" si="3"/>
        <v>1.3629799999999992</v>
      </c>
      <c r="Y5" s="42">
        <f t="shared" si="3"/>
        <v>1.4391799999999992</v>
      </c>
      <c r="Z5" s="42">
        <f t="shared" si="3"/>
        <v>1.3272799999999993</v>
      </c>
      <c r="AA5" s="42">
        <f t="shared" si="3"/>
        <v>0.87727999999999939</v>
      </c>
      <c r="AB5" s="42">
        <f t="shared" si="3"/>
        <v>1.3756799999999991</v>
      </c>
      <c r="AC5" s="42">
        <f t="shared" si="3"/>
        <v>1.3883799999999993</v>
      </c>
      <c r="AD5" s="42">
        <f t="shared" si="3"/>
        <v>0.55188000000000004</v>
      </c>
      <c r="AE5" s="42">
        <f t="shared" si="3"/>
        <v>1.3502799999999993</v>
      </c>
      <c r="AF5" s="42">
        <f t="shared" si="3"/>
        <v>1.0018799999999992</v>
      </c>
      <c r="AG5" s="42">
        <f t="shared" si="3"/>
        <v>1.3526799999999992</v>
      </c>
      <c r="AH5" s="42">
        <f t="shared" si="3"/>
        <v>1.2994799999999993</v>
      </c>
      <c r="AI5" s="42">
        <f t="shared" si="3"/>
        <v>1.2764799999999994</v>
      </c>
      <c r="AJ5" s="42">
        <f t="shared" si="3"/>
        <v>0.65107999999999988</v>
      </c>
      <c r="AK5" s="42">
        <f t="shared" si="3"/>
        <v>1.3272799999999993</v>
      </c>
      <c r="AL5" s="42">
        <f t="shared" si="3"/>
        <v>0.57728000000000013</v>
      </c>
      <c r="AM5" s="42">
        <f t="shared" si="3"/>
        <v>1.3502799999999993</v>
      </c>
      <c r="AN5" s="42">
        <f t="shared" si="3"/>
        <v>1.3272799999999993</v>
      </c>
      <c r="AO5" s="42">
        <f t="shared" si="3"/>
        <v>1.3780799999999993</v>
      </c>
      <c r="AP5" s="42">
        <f t="shared" si="3"/>
        <v>1.0248799999999991</v>
      </c>
      <c r="AQ5" s="42">
        <f t="shared" si="3"/>
        <v>1.3780799999999993</v>
      </c>
      <c r="AR5" s="42">
        <f t="shared" si="3"/>
        <v>1.3502799999999993</v>
      </c>
      <c r="AS5" s="42">
        <f t="shared" si="3"/>
        <v>1.3502799999999993</v>
      </c>
      <c r="AT5" s="92">
        <v>1.25</v>
      </c>
      <c r="AU5" s="92">
        <f t="shared" si="1"/>
        <v>1.5951999999999988</v>
      </c>
      <c r="AV5" s="92">
        <f t="shared" si="1"/>
        <v>1.6751999999999989</v>
      </c>
      <c r="AW5" s="92">
        <f t="shared" si="1"/>
        <v>0.72520000000000018</v>
      </c>
      <c r="AX5" s="92">
        <f t="shared" si="1"/>
        <v>1.4451999999999989</v>
      </c>
      <c r="AY5" s="92">
        <f t="shared" si="1"/>
        <v>1.525199999999999</v>
      </c>
      <c r="AZ5" s="92">
        <f t="shared" si="1"/>
        <v>1.3451999999999988</v>
      </c>
      <c r="BA5" s="92">
        <f t="shared" si="1"/>
        <v>1.3251999999999988</v>
      </c>
      <c r="BB5" s="92">
        <f t="shared" si="1"/>
        <v>1.5951999999999988</v>
      </c>
      <c r="BC5" s="92">
        <f t="shared" si="1"/>
        <v>0.89519999999999944</v>
      </c>
      <c r="BD5" s="92">
        <f t="shared" si="1"/>
        <v>2.9952000000000014</v>
      </c>
      <c r="BE5" s="92">
        <v>1.25</v>
      </c>
      <c r="BF5" s="92">
        <v>1.25</v>
      </c>
      <c r="BG5" s="92">
        <f t="shared" si="1"/>
        <v>1.3251999999999988</v>
      </c>
      <c r="BH5" s="92">
        <f t="shared" si="1"/>
        <v>1.6251999999999991</v>
      </c>
      <c r="BI5" s="92">
        <f t="shared" si="1"/>
        <v>1.495199999999999</v>
      </c>
      <c r="BJ5" s="92">
        <f t="shared" si="1"/>
        <v>1.5751999999999988</v>
      </c>
      <c r="BK5" s="92">
        <f t="shared" si="1"/>
        <v>0.7752</v>
      </c>
      <c r="BL5" s="92">
        <f t="shared" si="1"/>
        <v>0.8251999999999996</v>
      </c>
      <c r="BM5" s="92">
        <f t="shared" si="1"/>
        <v>1.3451999999999988</v>
      </c>
      <c r="BN5" s="92">
        <f t="shared" si="1"/>
        <v>1.8251999999999999</v>
      </c>
      <c r="BO5" s="92">
        <f t="shared" si="1"/>
        <v>1.3951999999999991</v>
      </c>
      <c r="BP5" s="92">
        <f t="shared" si="1"/>
        <v>3.2952000000000017</v>
      </c>
      <c r="BQ5" s="92">
        <f t="shared" si="1"/>
        <v>2.3952000000000018</v>
      </c>
      <c r="BR5" s="92">
        <f t="shared" si="1"/>
        <v>2.9952000000000014</v>
      </c>
      <c r="BS5" s="92">
        <f t="shared" si="2"/>
        <v>2.8452000000000015</v>
      </c>
      <c r="BT5" s="92">
        <f t="shared" si="2"/>
        <v>2.4202000000000017</v>
      </c>
    </row>
    <row r="6" spans="1:72" x14ac:dyDescent="0.2">
      <c r="A6" s="12">
        <v>24.99</v>
      </c>
      <c r="B6" s="12" t="s">
        <v>204</v>
      </c>
      <c r="C6" s="42"/>
      <c r="D6" s="12">
        <v>24.99</v>
      </c>
      <c r="E6" s="42"/>
      <c r="F6" s="43">
        <v>3</v>
      </c>
      <c r="G6" s="12">
        <v>-180</v>
      </c>
      <c r="H6" s="42">
        <f>H7-(0.0254*1.6)</f>
        <v>1.3934599999999993</v>
      </c>
      <c r="I6" s="42">
        <f t="shared" ref="I6:AS6" si="4">I7-(0.0254*1.6)</f>
        <v>1.3196599999999994</v>
      </c>
      <c r="J6" s="42">
        <f t="shared" si="4"/>
        <v>1.3704599999999993</v>
      </c>
      <c r="K6" s="42">
        <f t="shared" si="4"/>
        <v>1.3450599999999993</v>
      </c>
      <c r="L6" s="42">
        <f t="shared" si="4"/>
        <v>1.3934599999999993</v>
      </c>
      <c r="M6" s="42">
        <f t="shared" si="4"/>
        <v>1.530759999999999</v>
      </c>
      <c r="N6" s="42">
        <f t="shared" si="4"/>
        <v>1.3704599999999993</v>
      </c>
      <c r="O6" s="42">
        <f t="shared" si="4"/>
        <v>0.64346000000000003</v>
      </c>
      <c r="P6" s="42">
        <f t="shared" si="4"/>
        <v>1.5942599999999991</v>
      </c>
      <c r="Q6" s="42">
        <f t="shared" si="4"/>
        <v>1.169659999999999</v>
      </c>
      <c r="R6" s="42">
        <f t="shared" si="4"/>
        <v>1.169659999999999</v>
      </c>
      <c r="S6" s="42">
        <f t="shared" si="4"/>
        <v>1.4212599999999993</v>
      </c>
      <c r="T6" s="42">
        <f t="shared" si="4"/>
        <v>0.40696000000000021</v>
      </c>
      <c r="U6" s="42">
        <f t="shared" si="4"/>
        <v>0.62046000000000012</v>
      </c>
      <c r="V6" s="42">
        <f t="shared" si="4"/>
        <v>0.99425999999999926</v>
      </c>
      <c r="W6" s="42">
        <f t="shared" si="4"/>
        <v>1.3196599999999994</v>
      </c>
      <c r="X6" s="42">
        <f t="shared" si="4"/>
        <v>1.4061599999999992</v>
      </c>
      <c r="Y6" s="42">
        <f t="shared" si="4"/>
        <v>1.4823599999999992</v>
      </c>
      <c r="Z6" s="42">
        <f t="shared" si="4"/>
        <v>1.3704599999999993</v>
      </c>
      <c r="AA6" s="42">
        <f t="shared" si="4"/>
        <v>0.92045999999999939</v>
      </c>
      <c r="AB6" s="42">
        <f t="shared" si="4"/>
        <v>1.4188599999999991</v>
      </c>
      <c r="AC6" s="42">
        <f t="shared" si="4"/>
        <v>1.4315599999999993</v>
      </c>
      <c r="AD6" s="42">
        <f t="shared" si="4"/>
        <v>0.59506000000000003</v>
      </c>
      <c r="AE6" s="42">
        <f t="shared" si="4"/>
        <v>1.3934599999999993</v>
      </c>
      <c r="AF6" s="42">
        <f t="shared" si="4"/>
        <v>1.0450599999999992</v>
      </c>
      <c r="AG6" s="42">
        <f t="shared" si="4"/>
        <v>1.3958599999999992</v>
      </c>
      <c r="AH6" s="42">
        <f t="shared" si="4"/>
        <v>1.3426599999999993</v>
      </c>
      <c r="AI6" s="42">
        <f t="shared" si="4"/>
        <v>1.3196599999999994</v>
      </c>
      <c r="AJ6" s="42">
        <f t="shared" si="4"/>
        <v>0.69425999999999988</v>
      </c>
      <c r="AK6" s="42">
        <f t="shared" si="4"/>
        <v>1.3704599999999993</v>
      </c>
      <c r="AL6" s="42">
        <f t="shared" si="4"/>
        <v>0.62046000000000012</v>
      </c>
      <c r="AM6" s="42">
        <f t="shared" si="4"/>
        <v>1.3934599999999993</v>
      </c>
      <c r="AN6" s="42">
        <f t="shared" si="4"/>
        <v>1.3704599999999993</v>
      </c>
      <c r="AO6" s="42">
        <f t="shared" si="4"/>
        <v>1.4212599999999993</v>
      </c>
      <c r="AP6" s="42">
        <f t="shared" si="4"/>
        <v>1.0680599999999991</v>
      </c>
      <c r="AQ6" s="42">
        <f t="shared" si="4"/>
        <v>1.4212599999999993</v>
      </c>
      <c r="AR6" s="42">
        <f t="shared" si="4"/>
        <v>1.3934599999999993</v>
      </c>
      <c r="AS6" s="42">
        <f t="shared" si="4"/>
        <v>1.3934599999999993</v>
      </c>
      <c r="AT6" s="92">
        <f>AT7-0.0254</f>
        <v>1.2545999999999999</v>
      </c>
      <c r="AU6" s="92">
        <f t="shared" si="1"/>
        <v>1.6205999999999989</v>
      </c>
      <c r="AV6" s="92">
        <f t="shared" si="1"/>
        <v>1.700599999999999</v>
      </c>
      <c r="AW6" s="92">
        <f t="shared" si="1"/>
        <v>0.75060000000000016</v>
      </c>
      <c r="AX6" s="92">
        <f t="shared" si="1"/>
        <v>1.470599999999999</v>
      </c>
      <c r="AY6" s="92">
        <f t="shared" si="1"/>
        <v>1.5505999999999991</v>
      </c>
      <c r="AZ6" s="92">
        <f t="shared" si="1"/>
        <v>1.3705999999999989</v>
      </c>
      <c r="BA6" s="92">
        <f t="shared" si="1"/>
        <v>1.3505999999999989</v>
      </c>
      <c r="BB6" s="92">
        <f t="shared" si="1"/>
        <v>1.6205999999999989</v>
      </c>
      <c r="BC6" s="92">
        <f t="shared" si="1"/>
        <v>0.92059999999999942</v>
      </c>
      <c r="BD6" s="92">
        <f t="shared" si="1"/>
        <v>3.0206000000000013</v>
      </c>
      <c r="BE6" s="92">
        <f>BE7-0.0254</f>
        <v>1.2545999999999999</v>
      </c>
      <c r="BF6" s="92">
        <f>BF7-0.0254</f>
        <v>1.2545999999999999</v>
      </c>
      <c r="BG6" s="92">
        <f t="shared" si="1"/>
        <v>1.3505999999999989</v>
      </c>
      <c r="BH6" s="92">
        <f t="shared" si="1"/>
        <v>1.6505999999999992</v>
      </c>
      <c r="BI6" s="92">
        <f t="shared" si="1"/>
        <v>1.5205999999999991</v>
      </c>
      <c r="BJ6" s="92">
        <f t="shared" si="1"/>
        <v>1.6005999999999989</v>
      </c>
      <c r="BK6" s="92">
        <f t="shared" si="1"/>
        <v>0.80059999999999998</v>
      </c>
      <c r="BL6" s="92">
        <f t="shared" si="1"/>
        <v>0.85059999999999958</v>
      </c>
      <c r="BM6" s="92">
        <f t="shared" si="1"/>
        <v>1.3705999999999989</v>
      </c>
      <c r="BN6" s="92">
        <f t="shared" si="1"/>
        <v>1.8506</v>
      </c>
      <c r="BO6" s="92">
        <f t="shared" si="1"/>
        <v>1.4205999999999992</v>
      </c>
      <c r="BP6" s="92">
        <f t="shared" si="1"/>
        <v>3.3206000000000016</v>
      </c>
      <c r="BQ6" s="92">
        <f t="shared" si="1"/>
        <v>2.4206000000000016</v>
      </c>
      <c r="BR6" s="92">
        <f t="shared" si="2"/>
        <v>3.0206000000000013</v>
      </c>
      <c r="BS6" s="92">
        <f t="shared" si="2"/>
        <v>2.8706000000000014</v>
      </c>
      <c r="BT6" s="92">
        <f t="shared" si="2"/>
        <v>2.4456000000000016</v>
      </c>
    </row>
    <row r="7" spans="1:72" x14ac:dyDescent="0.2">
      <c r="A7" s="12">
        <v>29.99</v>
      </c>
      <c r="B7" s="12" t="s">
        <v>3488</v>
      </c>
      <c r="C7" s="42"/>
      <c r="D7" s="12">
        <v>29.99</v>
      </c>
      <c r="E7" s="42"/>
      <c r="F7" s="43">
        <v>4</v>
      </c>
      <c r="G7" s="12">
        <v>-160</v>
      </c>
      <c r="H7" s="42">
        <f>H8-(0.0254*1.5)</f>
        <v>1.4340999999999993</v>
      </c>
      <c r="I7" s="42">
        <f t="shared" ref="I7:AS7" si="5">I8-(0.0254*1.5)</f>
        <v>1.3602999999999994</v>
      </c>
      <c r="J7" s="42">
        <f t="shared" si="5"/>
        <v>1.4110999999999994</v>
      </c>
      <c r="K7" s="42">
        <f t="shared" si="5"/>
        <v>1.3856999999999993</v>
      </c>
      <c r="L7" s="42">
        <f t="shared" si="5"/>
        <v>1.4340999999999993</v>
      </c>
      <c r="M7" s="42">
        <f t="shared" si="5"/>
        <v>1.571399999999999</v>
      </c>
      <c r="N7" s="42">
        <f t="shared" si="5"/>
        <v>1.4110999999999994</v>
      </c>
      <c r="O7" s="42">
        <f t="shared" si="5"/>
        <v>0.68410000000000004</v>
      </c>
      <c r="P7" s="42">
        <f t="shared" si="5"/>
        <v>1.6348999999999991</v>
      </c>
      <c r="Q7" s="42">
        <f t="shared" si="5"/>
        <v>1.210299999999999</v>
      </c>
      <c r="R7" s="42">
        <f t="shared" si="5"/>
        <v>1.210299999999999</v>
      </c>
      <c r="S7" s="42">
        <f t="shared" si="5"/>
        <v>1.4618999999999993</v>
      </c>
      <c r="T7" s="42">
        <f t="shared" si="5"/>
        <v>0.44760000000000022</v>
      </c>
      <c r="U7" s="42">
        <f t="shared" si="5"/>
        <v>0.66110000000000013</v>
      </c>
      <c r="V7" s="42">
        <f t="shared" si="5"/>
        <v>1.0348999999999993</v>
      </c>
      <c r="W7" s="42">
        <f t="shared" si="5"/>
        <v>1.3602999999999994</v>
      </c>
      <c r="X7" s="42">
        <f t="shared" si="5"/>
        <v>1.4467999999999992</v>
      </c>
      <c r="Y7" s="42">
        <f t="shared" si="5"/>
        <v>1.5229999999999992</v>
      </c>
      <c r="Z7" s="42">
        <f t="shared" si="5"/>
        <v>1.4110999999999994</v>
      </c>
      <c r="AA7" s="42">
        <f t="shared" si="5"/>
        <v>0.9610999999999994</v>
      </c>
      <c r="AB7" s="42">
        <f t="shared" si="5"/>
        <v>1.4594999999999991</v>
      </c>
      <c r="AC7" s="42">
        <f t="shared" si="5"/>
        <v>1.4721999999999993</v>
      </c>
      <c r="AD7" s="42">
        <f t="shared" si="5"/>
        <v>0.63570000000000004</v>
      </c>
      <c r="AE7" s="42">
        <f t="shared" si="5"/>
        <v>1.4340999999999993</v>
      </c>
      <c r="AF7" s="42">
        <f t="shared" si="5"/>
        <v>1.0856999999999992</v>
      </c>
      <c r="AG7" s="42">
        <f t="shared" si="5"/>
        <v>1.4364999999999992</v>
      </c>
      <c r="AH7" s="42">
        <f t="shared" si="5"/>
        <v>1.3832999999999993</v>
      </c>
      <c r="AI7" s="42">
        <f t="shared" si="5"/>
        <v>1.3602999999999994</v>
      </c>
      <c r="AJ7" s="42">
        <f t="shared" si="5"/>
        <v>0.73489999999999989</v>
      </c>
      <c r="AK7" s="42">
        <f t="shared" si="5"/>
        <v>1.4110999999999994</v>
      </c>
      <c r="AL7" s="42">
        <f t="shared" si="5"/>
        <v>0.66110000000000013</v>
      </c>
      <c r="AM7" s="42">
        <f t="shared" si="5"/>
        <v>1.4340999999999993</v>
      </c>
      <c r="AN7" s="42">
        <f t="shared" si="5"/>
        <v>1.4110999999999994</v>
      </c>
      <c r="AO7" s="42">
        <f t="shared" si="5"/>
        <v>1.4618999999999993</v>
      </c>
      <c r="AP7" s="42">
        <f t="shared" si="5"/>
        <v>1.1086999999999991</v>
      </c>
      <c r="AQ7" s="42">
        <f t="shared" si="5"/>
        <v>1.4618999999999993</v>
      </c>
      <c r="AR7" s="42">
        <f t="shared" si="5"/>
        <v>1.4340999999999993</v>
      </c>
      <c r="AS7" s="42">
        <f t="shared" si="5"/>
        <v>1.4340999999999993</v>
      </c>
      <c r="AT7" s="92">
        <v>1.28</v>
      </c>
      <c r="AU7" s="92">
        <f t="shared" si="1"/>
        <v>1.645999999999999</v>
      </c>
      <c r="AV7" s="92">
        <f t="shared" si="1"/>
        <v>1.7259999999999991</v>
      </c>
      <c r="AW7" s="92">
        <f t="shared" si="1"/>
        <v>0.77600000000000013</v>
      </c>
      <c r="AX7" s="92">
        <f t="shared" si="1"/>
        <v>1.4959999999999991</v>
      </c>
      <c r="AY7" s="92">
        <f t="shared" si="1"/>
        <v>1.5759999999999992</v>
      </c>
      <c r="AZ7" s="92">
        <f t="shared" si="1"/>
        <v>1.395999999999999</v>
      </c>
      <c r="BA7" s="92">
        <f t="shared" si="1"/>
        <v>1.375999999999999</v>
      </c>
      <c r="BB7" s="92">
        <f t="shared" si="1"/>
        <v>1.645999999999999</v>
      </c>
      <c r="BC7" s="92">
        <f t="shared" si="1"/>
        <v>0.9459999999999994</v>
      </c>
      <c r="BD7" s="92">
        <f t="shared" si="1"/>
        <v>3.0460000000000012</v>
      </c>
      <c r="BE7" s="92">
        <v>1.28</v>
      </c>
      <c r="BF7" s="92">
        <v>1.28</v>
      </c>
      <c r="BG7" s="92">
        <f t="shared" si="1"/>
        <v>1.375999999999999</v>
      </c>
      <c r="BH7" s="92">
        <f t="shared" si="1"/>
        <v>1.6759999999999993</v>
      </c>
      <c r="BI7" s="92">
        <f t="shared" si="1"/>
        <v>1.5459999999999992</v>
      </c>
      <c r="BJ7" s="92">
        <f t="shared" si="1"/>
        <v>1.625999999999999</v>
      </c>
      <c r="BK7" s="92">
        <f t="shared" si="1"/>
        <v>0.82599999999999996</v>
      </c>
      <c r="BL7" s="92">
        <f t="shared" si="1"/>
        <v>0.87599999999999956</v>
      </c>
      <c r="BM7" s="92">
        <f t="shared" si="1"/>
        <v>1.395999999999999</v>
      </c>
      <c r="BN7" s="92">
        <f t="shared" si="1"/>
        <v>1.8760000000000001</v>
      </c>
      <c r="BO7" s="92">
        <f t="shared" ref="BO7:BT15" si="6">BO8-0.0254</f>
        <v>1.4459999999999993</v>
      </c>
      <c r="BP7" s="92">
        <f t="shared" si="6"/>
        <v>3.3460000000000014</v>
      </c>
      <c r="BQ7" s="92">
        <f t="shared" si="6"/>
        <v>2.4460000000000015</v>
      </c>
      <c r="BR7" s="92">
        <f t="shared" si="6"/>
        <v>3.0460000000000012</v>
      </c>
      <c r="BS7" s="92">
        <f t="shared" si="6"/>
        <v>2.8960000000000012</v>
      </c>
      <c r="BT7" s="92">
        <f t="shared" si="6"/>
        <v>2.4710000000000014</v>
      </c>
    </row>
    <row r="8" spans="1:72" x14ac:dyDescent="0.2">
      <c r="A8" s="12">
        <v>34.99</v>
      </c>
      <c r="B8" s="12" t="s">
        <v>3489</v>
      </c>
      <c r="C8" s="42"/>
      <c r="D8" s="12">
        <v>34.99</v>
      </c>
      <c r="E8" s="42"/>
      <c r="F8" s="43">
        <v>5</v>
      </c>
      <c r="G8" s="12">
        <v>-90</v>
      </c>
      <c r="H8" s="42">
        <f>H9-(0.0254*1.4)</f>
        <v>1.4721999999999993</v>
      </c>
      <c r="I8" s="42">
        <f t="shared" ref="I8:AS8" si="7">I9-(0.0254*1.4)</f>
        <v>1.3983999999999994</v>
      </c>
      <c r="J8" s="42">
        <f t="shared" si="7"/>
        <v>1.4491999999999994</v>
      </c>
      <c r="K8" s="42">
        <f t="shared" si="7"/>
        <v>1.4237999999999993</v>
      </c>
      <c r="L8" s="42">
        <f t="shared" si="7"/>
        <v>1.4721999999999993</v>
      </c>
      <c r="M8" s="42">
        <f t="shared" si="7"/>
        <v>1.609499999999999</v>
      </c>
      <c r="N8" s="42">
        <f t="shared" si="7"/>
        <v>1.4491999999999994</v>
      </c>
      <c r="O8" s="42">
        <f t="shared" si="7"/>
        <v>0.72220000000000006</v>
      </c>
      <c r="P8" s="42">
        <f t="shared" si="7"/>
        <v>1.6729999999999992</v>
      </c>
      <c r="Q8" s="42">
        <f t="shared" si="7"/>
        <v>1.2483999999999991</v>
      </c>
      <c r="R8" s="42">
        <f t="shared" si="7"/>
        <v>1.2483999999999991</v>
      </c>
      <c r="S8" s="42">
        <f t="shared" si="7"/>
        <v>1.4999999999999993</v>
      </c>
      <c r="T8" s="42">
        <f t="shared" si="7"/>
        <v>0.48570000000000019</v>
      </c>
      <c r="U8" s="42">
        <f t="shared" si="7"/>
        <v>0.69920000000000015</v>
      </c>
      <c r="V8" s="42">
        <f t="shared" si="7"/>
        <v>1.0729999999999993</v>
      </c>
      <c r="W8" s="42">
        <f t="shared" si="7"/>
        <v>1.3983999999999994</v>
      </c>
      <c r="X8" s="42">
        <f t="shared" si="7"/>
        <v>1.4848999999999992</v>
      </c>
      <c r="Y8" s="42">
        <f t="shared" si="7"/>
        <v>1.5610999999999993</v>
      </c>
      <c r="Z8" s="42">
        <f t="shared" si="7"/>
        <v>1.4491999999999994</v>
      </c>
      <c r="AA8" s="42">
        <f t="shared" si="7"/>
        <v>0.99919999999999942</v>
      </c>
      <c r="AB8" s="42">
        <f t="shared" si="7"/>
        <v>1.4975999999999992</v>
      </c>
      <c r="AC8" s="42">
        <f t="shared" si="7"/>
        <v>1.5102999999999993</v>
      </c>
      <c r="AD8" s="42">
        <f t="shared" si="7"/>
        <v>0.67380000000000007</v>
      </c>
      <c r="AE8" s="42">
        <f t="shared" si="7"/>
        <v>1.4721999999999993</v>
      </c>
      <c r="AF8" s="42">
        <f t="shared" si="7"/>
        <v>1.1237999999999992</v>
      </c>
      <c r="AG8" s="42">
        <f t="shared" si="7"/>
        <v>1.4745999999999992</v>
      </c>
      <c r="AH8" s="42">
        <f t="shared" si="7"/>
        <v>1.4213999999999993</v>
      </c>
      <c r="AI8" s="42">
        <f t="shared" si="7"/>
        <v>1.3983999999999994</v>
      </c>
      <c r="AJ8" s="42">
        <f t="shared" si="7"/>
        <v>0.77299999999999991</v>
      </c>
      <c r="AK8" s="42">
        <f t="shared" si="7"/>
        <v>1.4491999999999994</v>
      </c>
      <c r="AL8" s="42">
        <f t="shared" si="7"/>
        <v>0.69920000000000015</v>
      </c>
      <c r="AM8" s="42">
        <f t="shared" si="7"/>
        <v>1.4721999999999993</v>
      </c>
      <c r="AN8" s="42">
        <f t="shared" si="7"/>
        <v>1.4491999999999994</v>
      </c>
      <c r="AO8" s="42">
        <f t="shared" si="7"/>
        <v>1.4999999999999993</v>
      </c>
      <c r="AP8" s="42">
        <f t="shared" si="7"/>
        <v>1.1467999999999992</v>
      </c>
      <c r="AQ8" s="42">
        <f t="shared" si="7"/>
        <v>1.4999999999999993</v>
      </c>
      <c r="AR8" s="42">
        <f t="shared" si="7"/>
        <v>1.4721999999999993</v>
      </c>
      <c r="AS8" s="42">
        <f t="shared" si="7"/>
        <v>1.4721999999999993</v>
      </c>
      <c r="AT8" s="92">
        <f>AT9-0.0254</f>
        <v>1.2846</v>
      </c>
      <c r="AU8" s="92">
        <f t="shared" si="1"/>
        <v>1.6713999999999991</v>
      </c>
      <c r="AV8" s="92">
        <f t="shared" si="1"/>
        <v>1.7513999999999992</v>
      </c>
      <c r="AW8" s="92">
        <f t="shared" si="1"/>
        <v>0.80140000000000011</v>
      </c>
      <c r="AX8" s="92">
        <f t="shared" si="1"/>
        <v>1.5213999999999992</v>
      </c>
      <c r="AY8" s="92">
        <f t="shared" si="1"/>
        <v>1.6013999999999993</v>
      </c>
      <c r="AZ8" s="92">
        <f t="shared" si="1"/>
        <v>1.4213999999999991</v>
      </c>
      <c r="BA8" s="92">
        <f t="shared" si="1"/>
        <v>1.4013999999999991</v>
      </c>
      <c r="BB8" s="92">
        <f t="shared" si="1"/>
        <v>1.6713999999999991</v>
      </c>
      <c r="BC8" s="92">
        <f t="shared" si="1"/>
        <v>0.97139999999999938</v>
      </c>
      <c r="BD8" s="92">
        <f t="shared" si="1"/>
        <v>3.071400000000001</v>
      </c>
      <c r="BE8" s="92">
        <f>BE9-0.0254</f>
        <v>1.2846</v>
      </c>
      <c r="BF8" s="92">
        <f>BF9-0.0254</f>
        <v>1.2846</v>
      </c>
      <c r="BG8" s="92">
        <f t="shared" si="1"/>
        <v>1.4013999999999991</v>
      </c>
      <c r="BH8" s="92">
        <f t="shared" si="1"/>
        <v>1.7013999999999994</v>
      </c>
      <c r="BI8" s="92">
        <f t="shared" si="1"/>
        <v>1.5713999999999992</v>
      </c>
      <c r="BJ8" s="92">
        <f t="shared" si="1"/>
        <v>1.6513999999999991</v>
      </c>
      <c r="BK8" s="92">
        <f t="shared" si="1"/>
        <v>0.85139999999999993</v>
      </c>
      <c r="BL8" s="92">
        <f t="shared" si="1"/>
        <v>0.90139999999999953</v>
      </c>
      <c r="BM8" s="92">
        <f t="shared" si="1"/>
        <v>1.4213999999999991</v>
      </c>
      <c r="BN8" s="92">
        <f t="shared" si="1"/>
        <v>1.9014000000000002</v>
      </c>
      <c r="BO8" s="92">
        <f t="shared" si="6"/>
        <v>1.4713999999999994</v>
      </c>
      <c r="BP8" s="92">
        <f t="shared" si="6"/>
        <v>3.3714000000000013</v>
      </c>
      <c r="BQ8" s="92">
        <f t="shared" si="6"/>
        <v>2.4714000000000014</v>
      </c>
      <c r="BR8" s="92">
        <f t="shared" si="6"/>
        <v>3.071400000000001</v>
      </c>
      <c r="BS8" s="92">
        <f t="shared" si="6"/>
        <v>2.9214000000000011</v>
      </c>
      <c r="BT8" s="92">
        <f t="shared" si="6"/>
        <v>2.4964000000000013</v>
      </c>
    </row>
    <row r="9" spans="1:72" x14ac:dyDescent="0.2">
      <c r="A9" s="12">
        <v>39.99</v>
      </c>
      <c r="B9" s="12" t="s">
        <v>3490</v>
      </c>
      <c r="C9" s="42"/>
      <c r="D9" s="12">
        <v>39.99</v>
      </c>
      <c r="E9" s="42"/>
      <c r="F9" s="43">
        <v>6</v>
      </c>
      <c r="G9" s="12">
        <v>-80</v>
      </c>
      <c r="H9" s="42">
        <f>H10-(0.0254*1.3)</f>
        <v>1.5077599999999993</v>
      </c>
      <c r="I9" s="42">
        <f t="shared" ref="I9:AS9" si="8">I10-(0.0254*1.3)</f>
        <v>1.4339599999999995</v>
      </c>
      <c r="J9" s="42">
        <f t="shared" si="8"/>
        <v>1.4847599999999994</v>
      </c>
      <c r="K9" s="42">
        <f t="shared" si="8"/>
        <v>1.4593599999999993</v>
      </c>
      <c r="L9" s="42">
        <f t="shared" si="8"/>
        <v>1.5077599999999993</v>
      </c>
      <c r="M9" s="42">
        <f t="shared" si="8"/>
        <v>1.6450599999999991</v>
      </c>
      <c r="N9" s="42">
        <f t="shared" si="8"/>
        <v>1.4847599999999994</v>
      </c>
      <c r="O9" s="42">
        <f t="shared" si="8"/>
        <v>0.7577600000000001</v>
      </c>
      <c r="P9" s="42">
        <f t="shared" si="8"/>
        <v>1.7085599999999992</v>
      </c>
      <c r="Q9" s="42">
        <f t="shared" si="8"/>
        <v>1.2839599999999991</v>
      </c>
      <c r="R9" s="42">
        <f t="shared" si="8"/>
        <v>1.2839599999999991</v>
      </c>
      <c r="S9" s="42">
        <f t="shared" si="8"/>
        <v>1.5355599999999994</v>
      </c>
      <c r="T9" s="42">
        <f t="shared" si="8"/>
        <v>0.52126000000000017</v>
      </c>
      <c r="U9" s="42">
        <f t="shared" si="8"/>
        <v>0.73476000000000019</v>
      </c>
      <c r="V9" s="42">
        <f t="shared" si="8"/>
        <v>1.1085599999999993</v>
      </c>
      <c r="W9" s="42">
        <f t="shared" si="8"/>
        <v>1.4339599999999995</v>
      </c>
      <c r="X9" s="42">
        <f t="shared" si="8"/>
        <v>1.5204599999999993</v>
      </c>
      <c r="Y9" s="42">
        <f t="shared" si="8"/>
        <v>1.5966599999999993</v>
      </c>
      <c r="Z9" s="42">
        <f t="shared" si="8"/>
        <v>1.4847599999999994</v>
      </c>
      <c r="AA9" s="42">
        <f t="shared" si="8"/>
        <v>1.0347599999999995</v>
      </c>
      <c r="AB9" s="42">
        <f t="shared" si="8"/>
        <v>1.5331599999999992</v>
      </c>
      <c r="AC9" s="42">
        <f t="shared" si="8"/>
        <v>1.5458599999999993</v>
      </c>
      <c r="AD9" s="42">
        <f t="shared" si="8"/>
        <v>0.7093600000000001</v>
      </c>
      <c r="AE9" s="42">
        <f t="shared" si="8"/>
        <v>1.5077599999999993</v>
      </c>
      <c r="AF9" s="42">
        <f t="shared" si="8"/>
        <v>1.1593599999999993</v>
      </c>
      <c r="AG9" s="42">
        <f t="shared" si="8"/>
        <v>1.5101599999999993</v>
      </c>
      <c r="AH9" s="42">
        <f t="shared" si="8"/>
        <v>1.4569599999999994</v>
      </c>
      <c r="AI9" s="42">
        <f t="shared" si="8"/>
        <v>1.4339599999999995</v>
      </c>
      <c r="AJ9" s="42">
        <f t="shared" si="8"/>
        <v>0.80855999999999995</v>
      </c>
      <c r="AK9" s="42">
        <f t="shared" si="8"/>
        <v>1.4847599999999994</v>
      </c>
      <c r="AL9" s="42">
        <f t="shared" si="8"/>
        <v>0.73476000000000019</v>
      </c>
      <c r="AM9" s="42">
        <f t="shared" si="8"/>
        <v>1.5077599999999993</v>
      </c>
      <c r="AN9" s="42">
        <f t="shared" si="8"/>
        <v>1.4847599999999994</v>
      </c>
      <c r="AO9" s="42">
        <f t="shared" si="8"/>
        <v>1.5355599999999994</v>
      </c>
      <c r="AP9" s="42">
        <f t="shared" si="8"/>
        <v>1.1823599999999992</v>
      </c>
      <c r="AQ9" s="42">
        <f t="shared" si="8"/>
        <v>1.5355599999999994</v>
      </c>
      <c r="AR9" s="42">
        <f t="shared" si="8"/>
        <v>1.5077599999999993</v>
      </c>
      <c r="AS9" s="42">
        <f t="shared" si="8"/>
        <v>1.5077599999999993</v>
      </c>
      <c r="AT9" s="92">
        <v>1.31</v>
      </c>
      <c r="AU9" s="92">
        <f t="shared" si="1"/>
        <v>1.6967999999999992</v>
      </c>
      <c r="AV9" s="92">
        <f t="shared" si="1"/>
        <v>1.7767999999999993</v>
      </c>
      <c r="AW9" s="92">
        <f t="shared" si="1"/>
        <v>0.82680000000000009</v>
      </c>
      <c r="AX9" s="92">
        <f t="shared" si="1"/>
        <v>1.5467999999999993</v>
      </c>
      <c r="AY9" s="92">
        <f t="shared" si="1"/>
        <v>1.6267999999999994</v>
      </c>
      <c r="AZ9" s="92">
        <f t="shared" si="1"/>
        <v>1.4467999999999992</v>
      </c>
      <c r="BA9" s="92">
        <f t="shared" si="1"/>
        <v>1.4267999999999992</v>
      </c>
      <c r="BB9" s="92">
        <f t="shared" si="1"/>
        <v>1.6967999999999992</v>
      </c>
      <c r="BC9" s="92">
        <f t="shared" si="1"/>
        <v>0.99679999999999935</v>
      </c>
      <c r="BD9" s="92">
        <f t="shared" si="1"/>
        <v>3.0968000000000009</v>
      </c>
      <c r="BE9" s="92">
        <v>1.31</v>
      </c>
      <c r="BF9" s="92">
        <v>1.31</v>
      </c>
      <c r="BG9" s="92">
        <f t="shared" si="1"/>
        <v>1.4267999999999992</v>
      </c>
      <c r="BH9" s="92">
        <f t="shared" si="1"/>
        <v>1.7267999999999994</v>
      </c>
      <c r="BI9" s="92">
        <f t="shared" si="1"/>
        <v>1.5967999999999993</v>
      </c>
      <c r="BJ9" s="92">
        <f t="shared" si="1"/>
        <v>1.6767999999999992</v>
      </c>
      <c r="BK9" s="92">
        <f t="shared" si="1"/>
        <v>0.87679999999999991</v>
      </c>
      <c r="BL9" s="92">
        <f t="shared" si="1"/>
        <v>0.92679999999999951</v>
      </c>
      <c r="BM9" s="92">
        <f t="shared" si="1"/>
        <v>1.4467999999999992</v>
      </c>
      <c r="BN9" s="92">
        <f t="shared" si="1"/>
        <v>1.9268000000000003</v>
      </c>
      <c r="BO9" s="92">
        <f t="shared" si="6"/>
        <v>1.4967999999999995</v>
      </c>
      <c r="BP9" s="92">
        <f t="shared" si="6"/>
        <v>3.3968000000000012</v>
      </c>
      <c r="BQ9" s="92">
        <f t="shared" si="6"/>
        <v>2.4968000000000012</v>
      </c>
      <c r="BR9" s="92">
        <f t="shared" si="6"/>
        <v>3.0968000000000009</v>
      </c>
      <c r="BS9" s="92">
        <f t="shared" si="6"/>
        <v>2.946800000000001</v>
      </c>
      <c r="BT9" s="92">
        <f t="shared" si="6"/>
        <v>2.5218000000000012</v>
      </c>
    </row>
    <row r="10" spans="1:72" x14ac:dyDescent="0.2">
      <c r="C10" s="42"/>
      <c r="D10" s="42"/>
      <c r="E10" s="42"/>
      <c r="F10" s="43">
        <v>7</v>
      </c>
      <c r="G10" s="12">
        <v>-65</v>
      </c>
      <c r="H10" s="42">
        <f>H11-(0.0254*1.2)</f>
        <v>1.5407799999999994</v>
      </c>
      <c r="I10" s="42">
        <f t="shared" ref="I10:AS10" si="9">I11-(0.0254*1.2)</f>
        <v>1.4669799999999995</v>
      </c>
      <c r="J10" s="42">
        <f t="shared" si="9"/>
        <v>1.5177799999999995</v>
      </c>
      <c r="K10" s="42">
        <f t="shared" si="9"/>
        <v>1.4923799999999994</v>
      </c>
      <c r="L10" s="42">
        <f t="shared" si="9"/>
        <v>1.5407799999999994</v>
      </c>
      <c r="M10" s="42">
        <f t="shared" si="9"/>
        <v>1.6780799999999991</v>
      </c>
      <c r="N10" s="42">
        <f t="shared" si="9"/>
        <v>1.5177799999999995</v>
      </c>
      <c r="O10" s="42">
        <f t="shared" si="9"/>
        <v>0.79078000000000015</v>
      </c>
      <c r="P10" s="42">
        <f t="shared" si="9"/>
        <v>1.7415799999999992</v>
      </c>
      <c r="Q10" s="42">
        <f t="shared" si="9"/>
        <v>1.3169799999999992</v>
      </c>
      <c r="R10" s="42">
        <f t="shared" si="9"/>
        <v>1.3169799999999992</v>
      </c>
      <c r="S10" s="42">
        <f t="shared" si="9"/>
        <v>1.5685799999999994</v>
      </c>
      <c r="T10" s="42">
        <f t="shared" si="9"/>
        <v>0.55428000000000022</v>
      </c>
      <c r="U10" s="42">
        <f t="shared" si="9"/>
        <v>0.76778000000000024</v>
      </c>
      <c r="V10" s="42">
        <f t="shared" si="9"/>
        <v>1.1415799999999994</v>
      </c>
      <c r="W10" s="42">
        <f t="shared" si="9"/>
        <v>1.4669799999999995</v>
      </c>
      <c r="X10" s="42">
        <f t="shared" si="9"/>
        <v>1.5534799999999993</v>
      </c>
      <c r="Y10" s="42">
        <f t="shared" si="9"/>
        <v>1.6296799999999994</v>
      </c>
      <c r="Z10" s="42">
        <f t="shared" si="9"/>
        <v>1.5177799999999995</v>
      </c>
      <c r="AA10" s="42">
        <f t="shared" si="9"/>
        <v>1.0677799999999995</v>
      </c>
      <c r="AB10" s="42">
        <f t="shared" si="9"/>
        <v>1.5661799999999992</v>
      </c>
      <c r="AC10" s="42">
        <f t="shared" si="9"/>
        <v>1.5788799999999994</v>
      </c>
      <c r="AD10" s="42">
        <f t="shared" si="9"/>
        <v>0.74238000000000015</v>
      </c>
      <c r="AE10" s="42">
        <f t="shared" si="9"/>
        <v>1.5407799999999994</v>
      </c>
      <c r="AF10" s="42">
        <f t="shared" si="9"/>
        <v>1.1923799999999993</v>
      </c>
      <c r="AG10" s="42">
        <f t="shared" si="9"/>
        <v>1.5431799999999993</v>
      </c>
      <c r="AH10" s="42">
        <f t="shared" si="9"/>
        <v>1.4899799999999994</v>
      </c>
      <c r="AI10" s="42">
        <f t="shared" si="9"/>
        <v>1.4669799999999995</v>
      </c>
      <c r="AJ10" s="42">
        <f t="shared" si="9"/>
        <v>0.84157999999999999</v>
      </c>
      <c r="AK10" s="42">
        <f t="shared" si="9"/>
        <v>1.5177799999999995</v>
      </c>
      <c r="AL10" s="42">
        <f t="shared" si="9"/>
        <v>0.76778000000000024</v>
      </c>
      <c r="AM10" s="42">
        <f t="shared" si="9"/>
        <v>1.5407799999999994</v>
      </c>
      <c r="AN10" s="42">
        <f t="shared" si="9"/>
        <v>1.5177799999999995</v>
      </c>
      <c r="AO10" s="42">
        <f t="shared" si="9"/>
        <v>1.5685799999999994</v>
      </c>
      <c r="AP10" s="42">
        <f t="shared" si="9"/>
        <v>1.2153799999999992</v>
      </c>
      <c r="AQ10" s="42">
        <f t="shared" si="9"/>
        <v>1.5685799999999994</v>
      </c>
      <c r="AR10" s="42">
        <f t="shared" si="9"/>
        <v>1.5407799999999994</v>
      </c>
      <c r="AS10" s="42">
        <f t="shared" si="9"/>
        <v>1.5407799999999994</v>
      </c>
      <c r="AT10" s="92">
        <f>AT11-0.0254</f>
        <v>1.3146</v>
      </c>
      <c r="AU10" s="92">
        <f t="shared" si="1"/>
        <v>1.7221999999999993</v>
      </c>
      <c r="AV10" s="92">
        <f t="shared" si="1"/>
        <v>1.8021999999999994</v>
      </c>
      <c r="AW10" s="92">
        <f t="shared" si="1"/>
        <v>0.85220000000000007</v>
      </c>
      <c r="AX10" s="92">
        <f t="shared" si="1"/>
        <v>1.5721999999999994</v>
      </c>
      <c r="AY10" s="92">
        <f t="shared" si="1"/>
        <v>1.6521999999999994</v>
      </c>
      <c r="AZ10" s="92">
        <f t="shared" si="1"/>
        <v>1.4721999999999993</v>
      </c>
      <c r="BA10" s="92">
        <f t="shared" si="1"/>
        <v>1.4521999999999993</v>
      </c>
      <c r="BB10" s="92">
        <f t="shared" si="1"/>
        <v>1.7221999999999993</v>
      </c>
      <c r="BC10" s="92">
        <f t="shared" si="1"/>
        <v>1.0221999999999993</v>
      </c>
      <c r="BD10" s="92">
        <f t="shared" si="1"/>
        <v>3.1222000000000008</v>
      </c>
      <c r="BE10" s="92">
        <f>BE11-0.0254</f>
        <v>1.3146</v>
      </c>
      <c r="BF10" s="92">
        <f>BF11-0.0254</f>
        <v>1.3146</v>
      </c>
      <c r="BG10" s="92">
        <f t="shared" si="1"/>
        <v>1.4521999999999993</v>
      </c>
      <c r="BH10" s="92">
        <f t="shared" si="1"/>
        <v>1.7521999999999995</v>
      </c>
      <c r="BI10" s="92">
        <f t="shared" si="1"/>
        <v>1.6221999999999994</v>
      </c>
      <c r="BJ10" s="92">
        <f t="shared" si="1"/>
        <v>1.7021999999999993</v>
      </c>
      <c r="BK10" s="92">
        <f t="shared" si="1"/>
        <v>0.90219999999999989</v>
      </c>
      <c r="BL10" s="92">
        <f t="shared" si="1"/>
        <v>0.95219999999999949</v>
      </c>
      <c r="BM10" s="92">
        <f t="shared" si="1"/>
        <v>1.4721999999999993</v>
      </c>
      <c r="BN10" s="92">
        <f t="shared" si="1"/>
        <v>1.9522000000000004</v>
      </c>
      <c r="BO10" s="92">
        <f t="shared" si="6"/>
        <v>1.5221999999999996</v>
      </c>
      <c r="BP10" s="92">
        <f t="shared" si="6"/>
        <v>3.422200000000001</v>
      </c>
      <c r="BQ10" s="92">
        <f t="shared" si="6"/>
        <v>2.5222000000000011</v>
      </c>
      <c r="BR10" s="92">
        <f t="shared" si="6"/>
        <v>3.1222000000000008</v>
      </c>
      <c r="BS10" s="92">
        <f t="shared" si="6"/>
        <v>2.9722000000000008</v>
      </c>
      <c r="BT10" s="92">
        <f t="shared" si="6"/>
        <v>2.547200000000001</v>
      </c>
    </row>
    <row r="11" spans="1:72" x14ac:dyDescent="0.2">
      <c r="C11" s="42"/>
      <c r="D11" s="42"/>
      <c r="E11" s="42"/>
      <c r="F11" s="43">
        <v>8</v>
      </c>
      <c r="G11" s="12">
        <v>-40</v>
      </c>
      <c r="H11" s="42">
        <f>H12-(0.0254*1.1)</f>
        <v>1.5712599999999994</v>
      </c>
      <c r="I11" s="42">
        <f t="shared" ref="I11:AS11" si="10">I12-(0.0254*1.1)</f>
        <v>1.4974599999999996</v>
      </c>
      <c r="J11" s="42">
        <f t="shared" si="10"/>
        <v>1.5482599999999995</v>
      </c>
      <c r="K11" s="42">
        <f t="shared" si="10"/>
        <v>1.5228599999999994</v>
      </c>
      <c r="L11" s="42">
        <f t="shared" si="10"/>
        <v>1.5712599999999994</v>
      </c>
      <c r="M11" s="42">
        <f t="shared" si="10"/>
        <v>1.7085599999999992</v>
      </c>
      <c r="N11" s="42">
        <f t="shared" si="10"/>
        <v>1.5482599999999995</v>
      </c>
      <c r="O11" s="42">
        <f t="shared" si="10"/>
        <v>0.8212600000000001</v>
      </c>
      <c r="P11" s="42">
        <f t="shared" si="10"/>
        <v>1.7720599999999993</v>
      </c>
      <c r="Q11" s="42">
        <f t="shared" si="10"/>
        <v>1.3474599999999992</v>
      </c>
      <c r="R11" s="42">
        <f t="shared" si="10"/>
        <v>1.3474599999999992</v>
      </c>
      <c r="S11" s="42">
        <f t="shared" si="10"/>
        <v>1.5990599999999995</v>
      </c>
      <c r="T11" s="42">
        <f t="shared" si="10"/>
        <v>0.58476000000000017</v>
      </c>
      <c r="U11" s="42">
        <f t="shared" si="10"/>
        <v>0.79826000000000019</v>
      </c>
      <c r="V11" s="42">
        <f t="shared" si="10"/>
        <v>1.1720599999999994</v>
      </c>
      <c r="W11" s="42">
        <f t="shared" si="10"/>
        <v>1.4974599999999996</v>
      </c>
      <c r="X11" s="42">
        <f t="shared" si="10"/>
        <v>1.5839599999999994</v>
      </c>
      <c r="Y11" s="42">
        <f t="shared" si="10"/>
        <v>1.6601599999999994</v>
      </c>
      <c r="Z11" s="42">
        <f t="shared" si="10"/>
        <v>1.5482599999999995</v>
      </c>
      <c r="AA11" s="42">
        <f t="shared" si="10"/>
        <v>1.0982599999999996</v>
      </c>
      <c r="AB11" s="42">
        <f t="shared" si="10"/>
        <v>1.5966599999999993</v>
      </c>
      <c r="AC11" s="42">
        <f t="shared" si="10"/>
        <v>1.6093599999999995</v>
      </c>
      <c r="AD11" s="42">
        <f t="shared" si="10"/>
        <v>0.7728600000000001</v>
      </c>
      <c r="AE11" s="42">
        <f t="shared" si="10"/>
        <v>1.5712599999999994</v>
      </c>
      <c r="AF11" s="42">
        <f t="shared" si="10"/>
        <v>1.2228599999999994</v>
      </c>
      <c r="AG11" s="42">
        <f t="shared" si="10"/>
        <v>1.5736599999999994</v>
      </c>
      <c r="AH11" s="42">
        <f t="shared" si="10"/>
        <v>1.5204599999999995</v>
      </c>
      <c r="AI11" s="42">
        <f t="shared" si="10"/>
        <v>1.4974599999999996</v>
      </c>
      <c r="AJ11" s="42">
        <f t="shared" si="10"/>
        <v>0.87205999999999995</v>
      </c>
      <c r="AK11" s="42">
        <f t="shared" si="10"/>
        <v>1.5482599999999995</v>
      </c>
      <c r="AL11" s="42">
        <f t="shared" si="10"/>
        <v>0.79826000000000019</v>
      </c>
      <c r="AM11" s="42">
        <f t="shared" si="10"/>
        <v>1.5712599999999994</v>
      </c>
      <c r="AN11" s="42">
        <f t="shared" si="10"/>
        <v>1.5482599999999995</v>
      </c>
      <c r="AO11" s="42">
        <f t="shared" si="10"/>
        <v>1.5990599999999995</v>
      </c>
      <c r="AP11" s="42">
        <f t="shared" si="10"/>
        <v>1.2458599999999993</v>
      </c>
      <c r="AQ11" s="42">
        <f t="shared" si="10"/>
        <v>1.5990599999999995</v>
      </c>
      <c r="AR11" s="42">
        <f t="shared" si="10"/>
        <v>1.5712599999999994</v>
      </c>
      <c r="AS11" s="42">
        <f t="shared" si="10"/>
        <v>1.5712599999999994</v>
      </c>
      <c r="AT11" s="92">
        <v>1.34</v>
      </c>
      <c r="AU11" s="92">
        <f t="shared" si="1"/>
        <v>1.7475999999999994</v>
      </c>
      <c r="AV11" s="92">
        <f t="shared" si="1"/>
        <v>1.8275999999999994</v>
      </c>
      <c r="AW11" s="92">
        <f t="shared" si="1"/>
        <v>0.87760000000000005</v>
      </c>
      <c r="AX11" s="92">
        <f t="shared" si="1"/>
        <v>1.5975999999999995</v>
      </c>
      <c r="AY11" s="92">
        <f t="shared" si="1"/>
        <v>1.6775999999999995</v>
      </c>
      <c r="AZ11" s="92">
        <f t="shared" si="1"/>
        <v>1.4975999999999994</v>
      </c>
      <c r="BA11" s="92">
        <f t="shared" si="1"/>
        <v>1.4775999999999994</v>
      </c>
      <c r="BB11" s="92">
        <f t="shared" si="1"/>
        <v>1.7475999999999994</v>
      </c>
      <c r="BC11" s="92">
        <f t="shared" si="1"/>
        <v>1.0475999999999994</v>
      </c>
      <c r="BD11" s="92">
        <f t="shared" si="1"/>
        <v>3.1476000000000006</v>
      </c>
      <c r="BE11" s="92">
        <v>1.34</v>
      </c>
      <c r="BF11" s="92">
        <v>1.34</v>
      </c>
      <c r="BG11" s="92">
        <f t="shared" si="1"/>
        <v>1.4775999999999994</v>
      </c>
      <c r="BH11" s="92">
        <f t="shared" si="1"/>
        <v>1.7775999999999996</v>
      </c>
      <c r="BI11" s="92">
        <f t="shared" si="1"/>
        <v>1.6475999999999995</v>
      </c>
      <c r="BJ11" s="92">
        <f t="shared" si="1"/>
        <v>1.7275999999999994</v>
      </c>
      <c r="BK11" s="92">
        <f t="shared" si="1"/>
        <v>0.92759999999999987</v>
      </c>
      <c r="BL11" s="92">
        <f t="shared" si="1"/>
        <v>0.97759999999999947</v>
      </c>
      <c r="BM11" s="92">
        <f t="shared" si="1"/>
        <v>1.4975999999999994</v>
      </c>
      <c r="BN11" s="92">
        <f t="shared" si="1"/>
        <v>1.9776000000000005</v>
      </c>
      <c r="BO11" s="92">
        <f t="shared" si="6"/>
        <v>1.5475999999999996</v>
      </c>
      <c r="BP11" s="92">
        <f t="shared" si="6"/>
        <v>3.4476000000000009</v>
      </c>
      <c r="BQ11" s="92">
        <f t="shared" si="6"/>
        <v>2.547600000000001</v>
      </c>
      <c r="BR11" s="92">
        <f t="shared" si="6"/>
        <v>3.1476000000000006</v>
      </c>
      <c r="BS11" s="92">
        <f t="shared" si="6"/>
        <v>2.9976000000000007</v>
      </c>
      <c r="BT11" s="92">
        <f t="shared" si="6"/>
        <v>2.5726000000000009</v>
      </c>
    </row>
    <row r="12" spans="1:72" x14ac:dyDescent="0.2">
      <c r="C12" s="42"/>
      <c r="D12" s="42"/>
      <c r="E12" s="42"/>
      <c r="F12" s="43">
        <v>9</v>
      </c>
      <c r="G12" s="12">
        <v>6</v>
      </c>
      <c r="H12" s="42">
        <f t="shared" ref="H12:H15" si="11">H13-0.0254</f>
        <v>1.5991999999999995</v>
      </c>
      <c r="I12" s="42">
        <f t="shared" ref="I12:I16" si="12">I13-0.0254</f>
        <v>1.5253999999999996</v>
      </c>
      <c r="J12" s="42">
        <f t="shared" ref="J12:J16" si="13">J13-0.0254</f>
        <v>1.5761999999999996</v>
      </c>
      <c r="K12" s="42">
        <f t="shared" ref="K12:K16" si="14">K13-0.0254</f>
        <v>1.5507999999999995</v>
      </c>
      <c r="L12" s="42">
        <f t="shared" ref="L12:L16" si="15">L13-0.0254</f>
        <v>1.5991999999999995</v>
      </c>
      <c r="M12" s="42">
        <f t="shared" ref="M12:M16" si="16">M13-0.0254</f>
        <v>1.7364999999999993</v>
      </c>
      <c r="N12" s="42">
        <f t="shared" ref="N12:N16" si="17">N13-0.0254</f>
        <v>1.5761999999999996</v>
      </c>
      <c r="O12" s="42">
        <f t="shared" ref="O12:O16" si="18">O13-0.0254</f>
        <v>0.84920000000000007</v>
      </c>
      <c r="P12" s="42">
        <f t="shared" ref="P12:P16" si="19">P13-0.0254</f>
        <v>1.7999999999999994</v>
      </c>
      <c r="Q12" s="42">
        <f t="shared" ref="Q12:Q16" si="20">Q13-0.0254</f>
        <v>1.3753999999999993</v>
      </c>
      <c r="R12" s="42">
        <f t="shared" ref="R12:R16" si="21">R13-0.0254</f>
        <v>1.3753999999999993</v>
      </c>
      <c r="S12" s="42">
        <f t="shared" ref="S12:S16" si="22">S13-0.0254</f>
        <v>1.6269999999999996</v>
      </c>
      <c r="T12" s="42">
        <f t="shared" ref="T12:T16" si="23">T13-0.0254</f>
        <v>0.61270000000000013</v>
      </c>
      <c r="U12" s="42">
        <f t="shared" ref="U12:U16" si="24">U13-0.0254</f>
        <v>0.82620000000000016</v>
      </c>
      <c r="V12" s="42">
        <f t="shared" ref="V12:V16" si="25">V13-0.0254</f>
        <v>1.1999999999999995</v>
      </c>
      <c r="W12" s="42">
        <f t="shared" ref="W12:W16" si="26">W13-0.0254</f>
        <v>1.5253999999999996</v>
      </c>
      <c r="X12" s="42">
        <f t="shared" ref="X12:X16" si="27">X13-0.0254</f>
        <v>1.6118999999999994</v>
      </c>
      <c r="Y12" s="42">
        <f t="shared" ref="Y12:Y16" si="28">Y13-0.0254</f>
        <v>1.6880999999999995</v>
      </c>
      <c r="Z12" s="42">
        <f t="shared" ref="Z12:Z16" si="29">Z13-0.0254</f>
        <v>1.5761999999999996</v>
      </c>
      <c r="AA12" s="42">
        <f t="shared" ref="AA12:AA16" si="30">AA13-0.0254</f>
        <v>1.1261999999999996</v>
      </c>
      <c r="AB12" s="42">
        <f t="shared" ref="AB12:AB16" si="31">AB13-0.0254</f>
        <v>1.6245999999999994</v>
      </c>
      <c r="AC12" s="42">
        <f t="shared" ref="AC12:AC16" si="32">AC13-0.0254</f>
        <v>1.6372999999999995</v>
      </c>
      <c r="AD12" s="42">
        <f t="shared" ref="AD12:AD16" si="33">AD13-0.0254</f>
        <v>0.80080000000000007</v>
      </c>
      <c r="AE12" s="42">
        <f t="shared" ref="AE12:AE16" si="34">AE13-0.0254</f>
        <v>1.5991999999999995</v>
      </c>
      <c r="AF12" s="42">
        <f t="shared" ref="AF12:AF16" si="35">AF13-0.0254</f>
        <v>1.2507999999999995</v>
      </c>
      <c r="AG12" s="42">
        <f t="shared" ref="AG12:AG16" si="36">AG13-0.0254</f>
        <v>1.6015999999999995</v>
      </c>
      <c r="AH12" s="42">
        <f t="shared" ref="AH12:AH16" si="37">AH13-0.0254</f>
        <v>1.5483999999999996</v>
      </c>
      <c r="AI12" s="42">
        <f t="shared" ref="AI12:AI16" si="38">AI13-0.0254</f>
        <v>1.5253999999999996</v>
      </c>
      <c r="AJ12" s="42">
        <f t="shared" ref="AJ12:AJ16" si="39">AJ13-0.0254</f>
        <v>0.89999999999999991</v>
      </c>
      <c r="AK12" s="42">
        <f t="shared" ref="AK12:AK16" si="40">AK13-0.0254</f>
        <v>1.5761999999999996</v>
      </c>
      <c r="AL12" s="42">
        <f t="shared" ref="AL12:AL16" si="41">AL13-0.0254</f>
        <v>0.82620000000000016</v>
      </c>
      <c r="AM12" s="42">
        <f t="shared" ref="AM12:AM16" si="42">AM13-0.0254</f>
        <v>1.5991999999999995</v>
      </c>
      <c r="AN12" s="42">
        <f t="shared" ref="AN12:AN16" si="43">AN13-0.0254</f>
        <v>1.5761999999999996</v>
      </c>
      <c r="AO12" s="42">
        <f t="shared" ref="AO12:AO16" si="44">AO13-0.0254</f>
        <v>1.6269999999999996</v>
      </c>
      <c r="AP12" s="42">
        <f t="shared" ref="AP12:AP16" si="45">AP13-0.0254</f>
        <v>1.2737999999999994</v>
      </c>
      <c r="AQ12" s="42">
        <f t="shared" ref="AQ12:AQ16" si="46">AQ13-0.0254</f>
        <v>1.6269999999999996</v>
      </c>
      <c r="AR12" s="42">
        <f t="shared" ref="AR12:AR16" si="47">AR13-0.0254</f>
        <v>1.5991999999999995</v>
      </c>
      <c r="AS12" s="42">
        <f t="shared" ref="AS12:AS16" si="48">AS13-0.0254</f>
        <v>1.5991999999999995</v>
      </c>
      <c r="AT12" s="92">
        <f>AT13-0.0254</f>
        <v>1.3446</v>
      </c>
      <c r="AU12" s="92">
        <f t="shared" si="1"/>
        <v>1.7729999999999995</v>
      </c>
      <c r="AV12" s="92">
        <f t="shared" si="1"/>
        <v>1.8529999999999995</v>
      </c>
      <c r="AW12" s="92">
        <f t="shared" si="1"/>
        <v>0.90300000000000002</v>
      </c>
      <c r="AX12" s="92">
        <f t="shared" si="1"/>
        <v>1.6229999999999996</v>
      </c>
      <c r="AY12" s="92">
        <f t="shared" si="1"/>
        <v>1.7029999999999996</v>
      </c>
      <c r="AZ12" s="92">
        <f t="shared" si="1"/>
        <v>1.5229999999999995</v>
      </c>
      <c r="BA12" s="92">
        <f t="shared" si="1"/>
        <v>1.5029999999999994</v>
      </c>
      <c r="BB12" s="92">
        <f t="shared" si="1"/>
        <v>1.7729999999999995</v>
      </c>
      <c r="BC12" s="92">
        <f t="shared" si="1"/>
        <v>1.0729999999999995</v>
      </c>
      <c r="BD12" s="92">
        <f t="shared" si="1"/>
        <v>3.1730000000000005</v>
      </c>
      <c r="BE12" s="92">
        <f>BE13-0.0254</f>
        <v>1.3446</v>
      </c>
      <c r="BF12" s="92">
        <f>BF13-0.0254</f>
        <v>1.3446</v>
      </c>
      <c r="BG12" s="92">
        <f t="shared" si="1"/>
        <v>1.5029999999999994</v>
      </c>
      <c r="BH12" s="92">
        <f t="shared" si="1"/>
        <v>1.8029999999999997</v>
      </c>
      <c r="BI12" s="92">
        <f t="shared" si="1"/>
        <v>1.6729999999999996</v>
      </c>
      <c r="BJ12" s="92">
        <f t="shared" si="1"/>
        <v>1.7529999999999994</v>
      </c>
      <c r="BK12" s="92">
        <f t="shared" si="1"/>
        <v>0.95299999999999985</v>
      </c>
      <c r="BL12" s="92">
        <f t="shared" si="1"/>
        <v>1.0029999999999994</v>
      </c>
      <c r="BM12" s="92">
        <f t="shared" si="1"/>
        <v>1.5229999999999995</v>
      </c>
      <c r="BN12" s="92">
        <f t="shared" si="1"/>
        <v>2.0030000000000006</v>
      </c>
      <c r="BO12" s="92">
        <f t="shared" si="6"/>
        <v>1.5729999999999997</v>
      </c>
      <c r="BP12" s="92">
        <f t="shared" si="6"/>
        <v>3.4730000000000008</v>
      </c>
      <c r="BQ12" s="92">
        <f t="shared" si="6"/>
        <v>2.5730000000000008</v>
      </c>
      <c r="BR12" s="92">
        <f t="shared" si="6"/>
        <v>3.1730000000000005</v>
      </c>
      <c r="BS12" s="92">
        <f t="shared" si="6"/>
        <v>3.0230000000000006</v>
      </c>
      <c r="BT12" s="92">
        <f t="shared" si="6"/>
        <v>2.5980000000000008</v>
      </c>
    </row>
    <row r="13" spans="1:72" x14ac:dyDescent="0.2">
      <c r="C13" s="42"/>
      <c r="D13" s="42"/>
      <c r="E13" s="42"/>
      <c r="F13" s="43">
        <v>10</v>
      </c>
      <c r="G13" s="12">
        <v>9</v>
      </c>
      <c r="H13" s="42">
        <f t="shared" si="11"/>
        <v>1.6245999999999996</v>
      </c>
      <c r="I13" s="42">
        <f t="shared" si="12"/>
        <v>1.5507999999999997</v>
      </c>
      <c r="J13" s="42">
        <f t="shared" si="13"/>
        <v>1.6015999999999997</v>
      </c>
      <c r="K13" s="42">
        <f t="shared" si="14"/>
        <v>1.5761999999999996</v>
      </c>
      <c r="L13" s="42">
        <f t="shared" si="15"/>
        <v>1.6245999999999996</v>
      </c>
      <c r="M13" s="42">
        <f t="shared" si="16"/>
        <v>1.7618999999999994</v>
      </c>
      <c r="N13" s="42">
        <f t="shared" si="17"/>
        <v>1.6015999999999997</v>
      </c>
      <c r="O13" s="42">
        <f t="shared" si="18"/>
        <v>0.87460000000000004</v>
      </c>
      <c r="P13" s="42">
        <f t="shared" si="19"/>
        <v>1.8253999999999995</v>
      </c>
      <c r="Q13" s="42">
        <f t="shared" si="20"/>
        <v>1.4007999999999994</v>
      </c>
      <c r="R13" s="42">
        <f t="shared" si="21"/>
        <v>1.4007999999999994</v>
      </c>
      <c r="S13" s="42">
        <f t="shared" si="22"/>
        <v>1.6523999999999996</v>
      </c>
      <c r="T13" s="42">
        <f t="shared" si="23"/>
        <v>0.63810000000000011</v>
      </c>
      <c r="U13" s="42">
        <f t="shared" si="24"/>
        <v>0.85160000000000013</v>
      </c>
      <c r="V13" s="42">
        <f t="shared" si="25"/>
        <v>1.2253999999999996</v>
      </c>
      <c r="W13" s="42">
        <f t="shared" si="26"/>
        <v>1.5507999999999997</v>
      </c>
      <c r="X13" s="42">
        <f t="shared" si="27"/>
        <v>1.6372999999999995</v>
      </c>
      <c r="Y13" s="42">
        <f t="shared" si="28"/>
        <v>1.7134999999999996</v>
      </c>
      <c r="Z13" s="42">
        <f t="shared" si="29"/>
        <v>1.6015999999999997</v>
      </c>
      <c r="AA13" s="42">
        <f t="shared" si="30"/>
        <v>1.1515999999999997</v>
      </c>
      <c r="AB13" s="42">
        <f t="shared" si="31"/>
        <v>1.6499999999999995</v>
      </c>
      <c r="AC13" s="42">
        <f t="shared" si="32"/>
        <v>1.6626999999999996</v>
      </c>
      <c r="AD13" s="42">
        <f t="shared" si="33"/>
        <v>0.82620000000000005</v>
      </c>
      <c r="AE13" s="42">
        <f t="shared" si="34"/>
        <v>1.6245999999999996</v>
      </c>
      <c r="AF13" s="42">
        <f t="shared" si="35"/>
        <v>1.2761999999999996</v>
      </c>
      <c r="AG13" s="42">
        <f t="shared" si="36"/>
        <v>1.6269999999999996</v>
      </c>
      <c r="AH13" s="42">
        <f t="shared" si="37"/>
        <v>1.5737999999999996</v>
      </c>
      <c r="AI13" s="42">
        <f t="shared" si="38"/>
        <v>1.5507999999999997</v>
      </c>
      <c r="AJ13" s="42">
        <f t="shared" si="39"/>
        <v>0.92539999999999989</v>
      </c>
      <c r="AK13" s="42">
        <f t="shared" si="40"/>
        <v>1.6015999999999997</v>
      </c>
      <c r="AL13" s="42">
        <f t="shared" si="41"/>
        <v>0.85160000000000013</v>
      </c>
      <c r="AM13" s="42">
        <f t="shared" si="42"/>
        <v>1.6245999999999996</v>
      </c>
      <c r="AN13" s="42">
        <f t="shared" si="43"/>
        <v>1.6015999999999997</v>
      </c>
      <c r="AO13" s="42">
        <f t="shared" si="44"/>
        <v>1.6523999999999996</v>
      </c>
      <c r="AP13" s="42">
        <f t="shared" si="45"/>
        <v>1.2991999999999995</v>
      </c>
      <c r="AQ13" s="42">
        <f t="shared" si="46"/>
        <v>1.6523999999999996</v>
      </c>
      <c r="AR13" s="42">
        <f t="shared" si="47"/>
        <v>1.6245999999999996</v>
      </c>
      <c r="AS13" s="42">
        <f t="shared" si="48"/>
        <v>1.6245999999999996</v>
      </c>
      <c r="AT13" s="92">
        <v>1.37</v>
      </c>
      <c r="AU13" s="92">
        <f t="shared" si="1"/>
        <v>1.7983999999999996</v>
      </c>
      <c r="AV13" s="92">
        <f t="shared" si="1"/>
        <v>1.8783999999999996</v>
      </c>
      <c r="AW13" s="92">
        <f t="shared" si="1"/>
        <v>0.9284</v>
      </c>
      <c r="AX13" s="92">
        <f t="shared" si="1"/>
        <v>1.6483999999999996</v>
      </c>
      <c r="AY13" s="92">
        <f t="shared" si="1"/>
        <v>1.7283999999999997</v>
      </c>
      <c r="AZ13" s="92">
        <f t="shared" si="1"/>
        <v>1.5483999999999996</v>
      </c>
      <c r="BA13" s="92">
        <f t="shared" si="1"/>
        <v>1.5283999999999995</v>
      </c>
      <c r="BB13" s="92">
        <f t="shared" si="1"/>
        <v>1.7983999999999996</v>
      </c>
      <c r="BC13" s="92">
        <f t="shared" si="1"/>
        <v>1.0983999999999996</v>
      </c>
      <c r="BD13" s="92">
        <f t="shared" si="1"/>
        <v>3.1984000000000004</v>
      </c>
      <c r="BE13" s="92">
        <v>1.37</v>
      </c>
      <c r="BF13" s="92">
        <v>1.37</v>
      </c>
      <c r="BG13" s="92">
        <f t="shared" si="1"/>
        <v>1.5283999999999995</v>
      </c>
      <c r="BH13" s="92">
        <f t="shared" si="1"/>
        <v>1.8283999999999998</v>
      </c>
      <c r="BI13" s="92">
        <f t="shared" si="1"/>
        <v>1.6983999999999997</v>
      </c>
      <c r="BJ13" s="92">
        <f t="shared" si="1"/>
        <v>1.7783999999999995</v>
      </c>
      <c r="BK13" s="92">
        <f t="shared" si="1"/>
        <v>0.97839999999999983</v>
      </c>
      <c r="BL13" s="92">
        <f t="shared" si="1"/>
        <v>1.0283999999999995</v>
      </c>
      <c r="BM13" s="92">
        <f t="shared" si="1"/>
        <v>1.5483999999999996</v>
      </c>
      <c r="BN13" s="92">
        <f t="shared" si="1"/>
        <v>2.0284000000000004</v>
      </c>
      <c r="BO13" s="92">
        <f t="shared" si="6"/>
        <v>1.5983999999999998</v>
      </c>
      <c r="BP13" s="92">
        <f t="shared" si="6"/>
        <v>3.4984000000000006</v>
      </c>
      <c r="BQ13" s="92">
        <f t="shared" si="6"/>
        <v>2.5984000000000007</v>
      </c>
      <c r="BR13" s="92">
        <f t="shared" si="6"/>
        <v>3.1984000000000004</v>
      </c>
      <c r="BS13" s="92">
        <f t="shared" si="6"/>
        <v>3.0484000000000004</v>
      </c>
      <c r="BT13" s="92">
        <f t="shared" si="6"/>
        <v>2.6234000000000006</v>
      </c>
    </row>
    <row r="14" spans="1:72" x14ac:dyDescent="0.2">
      <c r="C14" s="42"/>
      <c r="D14" s="42"/>
      <c r="E14" s="42"/>
      <c r="F14" s="43">
        <v>11</v>
      </c>
      <c r="G14" s="12">
        <v>15</v>
      </c>
      <c r="H14" s="42">
        <f t="shared" si="11"/>
        <v>1.6499999999999997</v>
      </c>
      <c r="I14" s="42">
        <f t="shared" si="12"/>
        <v>1.5761999999999998</v>
      </c>
      <c r="J14" s="42">
        <f t="shared" si="13"/>
        <v>1.6269999999999998</v>
      </c>
      <c r="K14" s="42">
        <f t="shared" si="14"/>
        <v>1.6015999999999997</v>
      </c>
      <c r="L14" s="42">
        <f t="shared" si="15"/>
        <v>1.6499999999999997</v>
      </c>
      <c r="M14" s="42">
        <f t="shared" si="16"/>
        <v>1.7872999999999994</v>
      </c>
      <c r="N14" s="42">
        <f t="shared" si="17"/>
        <v>1.6269999999999998</v>
      </c>
      <c r="O14" s="42">
        <f t="shared" si="18"/>
        <v>0.9</v>
      </c>
      <c r="P14" s="42">
        <f t="shared" si="19"/>
        <v>1.8507999999999996</v>
      </c>
      <c r="Q14" s="42">
        <f t="shared" si="20"/>
        <v>1.4261999999999995</v>
      </c>
      <c r="R14" s="42">
        <f t="shared" si="21"/>
        <v>1.4261999999999995</v>
      </c>
      <c r="S14" s="42">
        <f t="shared" si="22"/>
        <v>1.6777999999999997</v>
      </c>
      <c r="T14" s="42">
        <f t="shared" si="23"/>
        <v>0.66350000000000009</v>
      </c>
      <c r="U14" s="42">
        <f t="shared" si="24"/>
        <v>0.87700000000000011</v>
      </c>
      <c r="V14" s="42">
        <f t="shared" si="25"/>
        <v>1.2507999999999997</v>
      </c>
      <c r="W14" s="42">
        <f t="shared" si="26"/>
        <v>1.5761999999999998</v>
      </c>
      <c r="X14" s="42">
        <f t="shared" si="27"/>
        <v>1.6626999999999996</v>
      </c>
      <c r="Y14" s="42">
        <f t="shared" si="28"/>
        <v>1.7388999999999997</v>
      </c>
      <c r="Z14" s="42">
        <f t="shared" si="29"/>
        <v>1.6269999999999998</v>
      </c>
      <c r="AA14" s="42">
        <f t="shared" si="30"/>
        <v>1.1769999999999998</v>
      </c>
      <c r="AB14" s="42">
        <f t="shared" si="31"/>
        <v>1.6753999999999996</v>
      </c>
      <c r="AC14" s="42">
        <f t="shared" si="32"/>
        <v>1.6880999999999997</v>
      </c>
      <c r="AD14" s="42">
        <f t="shared" si="33"/>
        <v>0.85160000000000002</v>
      </c>
      <c r="AE14" s="42">
        <f t="shared" si="34"/>
        <v>1.6499999999999997</v>
      </c>
      <c r="AF14" s="42">
        <f t="shared" si="35"/>
        <v>1.3015999999999996</v>
      </c>
      <c r="AG14" s="42">
        <f t="shared" si="36"/>
        <v>1.6523999999999996</v>
      </c>
      <c r="AH14" s="42">
        <f t="shared" si="37"/>
        <v>1.5991999999999997</v>
      </c>
      <c r="AI14" s="42">
        <f t="shared" si="38"/>
        <v>1.5761999999999998</v>
      </c>
      <c r="AJ14" s="42">
        <f t="shared" si="39"/>
        <v>0.95079999999999987</v>
      </c>
      <c r="AK14" s="42">
        <f t="shared" si="40"/>
        <v>1.6269999999999998</v>
      </c>
      <c r="AL14" s="42">
        <f t="shared" si="41"/>
        <v>0.87700000000000011</v>
      </c>
      <c r="AM14" s="42">
        <f t="shared" si="42"/>
        <v>1.6499999999999997</v>
      </c>
      <c r="AN14" s="42">
        <f t="shared" si="43"/>
        <v>1.6269999999999998</v>
      </c>
      <c r="AO14" s="42">
        <f t="shared" si="44"/>
        <v>1.6777999999999997</v>
      </c>
      <c r="AP14" s="42">
        <f t="shared" si="45"/>
        <v>1.3245999999999996</v>
      </c>
      <c r="AQ14" s="42">
        <f t="shared" si="46"/>
        <v>1.6777999999999997</v>
      </c>
      <c r="AR14" s="42">
        <f t="shared" si="47"/>
        <v>1.6499999999999997</v>
      </c>
      <c r="AS14" s="42">
        <f t="shared" si="48"/>
        <v>1.6499999999999997</v>
      </c>
      <c r="AT14" s="92">
        <f>AT15-0.0254</f>
        <v>1.3745999999999998</v>
      </c>
      <c r="AU14" s="92">
        <f t="shared" si="1"/>
        <v>1.8237999999999996</v>
      </c>
      <c r="AV14" s="92">
        <f t="shared" si="1"/>
        <v>1.9037999999999997</v>
      </c>
      <c r="AW14" s="92">
        <f t="shared" si="1"/>
        <v>0.95379999999999998</v>
      </c>
      <c r="AX14" s="92">
        <f t="shared" si="1"/>
        <v>1.6737999999999997</v>
      </c>
      <c r="AY14" s="92">
        <f t="shared" si="1"/>
        <v>1.7537999999999998</v>
      </c>
      <c r="AZ14" s="92">
        <f t="shared" si="1"/>
        <v>1.5737999999999996</v>
      </c>
      <c r="BA14" s="92">
        <f t="shared" si="1"/>
        <v>1.5537999999999996</v>
      </c>
      <c r="BB14" s="92">
        <f t="shared" si="1"/>
        <v>1.8237999999999996</v>
      </c>
      <c r="BC14" s="92">
        <f t="shared" si="1"/>
        <v>1.1237999999999997</v>
      </c>
      <c r="BD14" s="92">
        <f t="shared" si="1"/>
        <v>3.2238000000000002</v>
      </c>
      <c r="BE14" s="92">
        <f>BE15-0.0254</f>
        <v>1.3745999999999998</v>
      </c>
      <c r="BF14" s="92">
        <f>BF15-0.0254</f>
        <v>1.3745999999999998</v>
      </c>
      <c r="BG14" s="92">
        <f t="shared" si="1"/>
        <v>1.5537999999999996</v>
      </c>
      <c r="BH14" s="92">
        <f t="shared" si="1"/>
        <v>1.8537999999999999</v>
      </c>
      <c r="BI14" s="92">
        <f t="shared" si="1"/>
        <v>1.7237999999999998</v>
      </c>
      <c r="BJ14" s="92">
        <f t="shared" si="1"/>
        <v>1.8037999999999996</v>
      </c>
      <c r="BK14" s="92">
        <f t="shared" si="1"/>
        <v>1.0037999999999998</v>
      </c>
      <c r="BL14" s="92">
        <f t="shared" si="1"/>
        <v>1.0537999999999996</v>
      </c>
      <c r="BM14" s="92">
        <f t="shared" si="1"/>
        <v>1.5737999999999996</v>
      </c>
      <c r="BN14" s="92">
        <f t="shared" si="1"/>
        <v>2.0538000000000003</v>
      </c>
      <c r="BO14" s="92">
        <f t="shared" si="6"/>
        <v>1.6237999999999999</v>
      </c>
      <c r="BP14" s="92">
        <f t="shared" si="6"/>
        <v>3.5238000000000005</v>
      </c>
      <c r="BQ14" s="92">
        <f t="shared" si="6"/>
        <v>2.6238000000000006</v>
      </c>
      <c r="BR14" s="92">
        <f t="shared" si="6"/>
        <v>3.2238000000000002</v>
      </c>
      <c r="BS14" s="92">
        <f t="shared" si="6"/>
        <v>3.0738000000000003</v>
      </c>
      <c r="BT14" s="92">
        <f t="shared" si="6"/>
        <v>2.6488000000000005</v>
      </c>
    </row>
    <row r="15" spans="1:72" x14ac:dyDescent="0.2">
      <c r="C15" s="42"/>
      <c r="D15" s="42"/>
      <c r="E15" s="42"/>
      <c r="F15" s="43">
        <v>12</v>
      </c>
      <c r="G15" s="12">
        <v>24</v>
      </c>
      <c r="H15" s="42">
        <f t="shared" si="11"/>
        <v>1.6753999999999998</v>
      </c>
      <c r="I15" s="42">
        <f t="shared" si="12"/>
        <v>1.6015999999999999</v>
      </c>
      <c r="J15" s="42">
        <f t="shared" si="13"/>
        <v>1.6523999999999999</v>
      </c>
      <c r="K15" s="42">
        <f t="shared" si="14"/>
        <v>1.6269999999999998</v>
      </c>
      <c r="L15" s="42">
        <f t="shared" si="15"/>
        <v>1.6753999999999998</v>
      </c>
      <c r="M15" s="42">
        <f t="shared" si="16"/>
        <v>1.8126999999999995</v>
      </c>
      <c r="N15" s="42">
        <f t="shared" si="17"/>
        <v>1.6523999999999999</v>
      </c>
      <c r="O15" s="42">
        <f t="shared" si="18"/>
        <v>0.9254</v>
      </c>
      <c r="P15" s="42">
        <f t="shared" si="19"/>
        <v>1.8761999999999996</v>
      </c>
      <c r="Q15" s="42">
        <f t="shared" si="20"/>
        <v>1.4515999999999996</v>
      </c>
      <c r="R15" s="42">
        <f t="shared" si="21"/>
        <v>1.4515999999999996</v>
      </c>
      <c r="S15" s="42">
        <f t="shared" si="22"/>
        <v>1.7031999999999998</v>
      </c>
      <c r="T15" s="42">
        <f t="shared" si="23"/>
        <v>0.68890000000000007</v>
      </c>
      <c r="U15" s="42">
        <f t="shared" si="24"/>
        <v>0.90240000000000009</v>
      </c>
      <c r="V15" s="42">
        <f t="shared" si="25"/>
        <v>1.2761999999999998</v>
      </c>
      <c r="W15" s="42">
        <f t="shared" si="26"/>
        <v>1.6015999999999999</v>
      </c>
      <c r="X15" s="42">
        <f t="shared" si="27"/>
        <v>1.6880999999999997</v>
      </c>
      <c r="Y15" s="42">
        <f t="shared" si="28"/>
        <v>1.7642999999999998</v>
      </c>
      <c r="Z15" s="42">
        <f t="shared" si="29"/>
        <v>1.6523999999999999</v>
      </c>
      <c r="AA15" s="42">
        <f t="shared" si="30"/>
        <v>1.2023999999999999</v>
      </c>
      <c r="AB15" s="42">
        <f t="shared" si="31"/>
        <v>1.7007999999999996</v>
      </c>
      <c r="AC15" s="42">
        <f t="shared" si="32"/>
        <v>1.7134999999999998</v>
      </c>
      <c r="AD15" s="42">
        <f t="shared" si="33"/>
        <v>0.877</v>
      </c>
      <c r="AE15" s="42">
        <f t="shared" si="34"/>
        <v>1.6753999999999998</v>
      </c>
      <c r="AF15" s="42">
        <f t="shared" si="35"/>
        <v>1.3269999999999997</v>
      </c>
      <c r="AG15" s="42">
        <f t="shared" si="36"/>
        <v>1.6777999999999997</v>
      </c>
      <c r="AH15" s="42">
        <f t="shared" si="37"/>
        <v>1.6245999999999998</v>
      </c>
      <c r="AI15" s="42">
        <f t="shared" si="38"/>
        <v>1.6015999999999999</v>
      </c>
      <c r="AJ15" s="42">
        <f t="shared" si="39"/>
        <v>0.97619999999999985</v>
      </c>
      <c r="AK15" s="42">
        <f t="shared" si="40"/>
        <v>1.6523999999999999</v>
      </c>
      <c r="AL15" s="42">
        <f t="shared" si="41"/>
        <v>0.90240000000000009</v>
      </c>
      <c r="AM15" s="42">
        <f t="shared" si="42"/>
        <v>1.6753999999999998</v>
      </c>
      <c r="AN15" s="42">
        <f t="shared" si="43"/>
        <v>1.6523999999999999</v>
      </c>
      <c r="AO15" s="42">
        <f t="shared" si="44"/>
        <v>1.7031999999999998</v>
      </c>
      <c r="AP15" s="42">
        <f t="shared" si="45"/>
        <v>1.3499999999999996</v>
      </c>
      <c r="AQ15" s="42">
        <f t="shared" si="46"/>
        <v>1.7031999999999998</v>
      </c>
      <c r="AR15" s="42">
        <f t="shared" si="47"/>
        <v>1.6753999999999998</v>
      </c>
      <c r="AS15" s="42">
        <f t="shared" si="48"/>
        <v>1.6753999999999998</v>
      </c>
      <c r="AT15" s="92">
        <v>1.4</v>
      </c>
      <c r="AU15" s="92">
        <f t="shared" si="1"/>
        <v>1.8491999999999997</v>
      </c>
      <c r="AV15" s="92">
        <f t="shared" si="1"/>
        <v>1.9291999999999998</v>
      </c>
      <c r="AW15" s="92">
        <f t="shared" si="1"/>
        <v>0.97919999999999996</v>
      </c>
      <c r="AX15" s="92">
        <f t="shared" si="1"/>
        <v>1.6991999999999998</v>
      </c>
      <c r="AY15" s="92">
        <f t="shared" si="1"/>
        <v>1.7791999999999999</v>
      </c>
      <c r="AZ15" s="92">
        <f t="shared" si="1"/>
        <v>1.5991999999999997</v>
      </c>
      <c r="BA15" s="92">
        <f t="shared" si="1"/>
        <v>1.5791999999999997</v>
      </c>
      <c r="BB15" s="92">
        <f t="shared" si="1"/>
        <v>1.8491999999999997</v>
      </c>
      <c r="BC15" s="92">
        <f t="shared" si="1"/>
        <v>1.1491999999999998</v>
      </c>
      <c r="BD15" s="92">
        <f t="shared" si="1"/>
        <v>3.2492000000000001</v>
      </c>
      <c r="BE15" s="92">
        <v>1.4</v>
      </c>
      <c r="BF15" s="92">
        <v>1.4</v>
      </c>
      <c r="BG15" s="92">
        <f t="shared" si="1"/>
        <v>1.5791999999999997</v>
      </c>
      <c r="BH15" s="92">
        <f t="shared" si="1"/>
        <v>1.8792</v>
      </c>
      <c r="BI15" s="92">
        <f t="shared" si="1"/>
        <v>1.7491999999999999</v>
      </c>
      <c r="BJ15" s="92">
        <f t="shared" si="1"/>
        <v>1.8291999999999997</v>
      </c>
      <c r="BK15" s="92">
        <f t="shared" si="1"/>
        <v>1.0291999999999999</v>
      </c>
      <c r="BL15" s="92">
        <f t="shared" si="1"/>
        <v>1.0791999999999997</v>
      </c>
      <c r="BM15" s="92">
        <f t="shared" si="1"/>
        <v>1.5991999999999997</v>
      </c>
      <c r="BN15" s="92">
        <f t="shared" si="1"/>
        <v>2.0792000000000002</v>
      </c>
      <c r="BO15" s="92">
        <f t="shared" si="6"/>
        <v>1.6492</v>
      </c>
      <c r="BP15" s="92">
        <f t="shared" si="6"/>
        <v>3.5492000000000004</v>
      </c>
      <c r="BQ15" s="92">
        <f t="shared" si="6"/>
        <v>2.6492000000000004</v>
      </c>
      <c r="BR15" s="92">
        <f t="shared" si="6"/>
        <v>3.2492000000000001</v>
      </c>
      <c r="BS15" s="92">
        <f t="shared" si="6"/>
        <v>3.0992000000000002</v>
      </c>
      <c r="BT15" s="92">
        <f t="shared" si="6"/>
        <v>2.6742000000000004</v>
      </c>
    </row>
    <row r="16" spans="1:72" x14ac:dyDescent="0.2">
      <c r="C16" s="42" t="s">
        <v>3491</v>
      </c>
      <c r="D16" s="42">
        <v>170</v>
      </c>
      <c r="E16" s="42"/>
      <c r="F16" s="43">
        <v>13</v>
      </c>
      <c r="G16" s="12">
        <v>36</v>
      </c>
      <c r="H16" s="42">
        <f>H17-0.0254</f>
        <v>1.7007999999999999</v>
      </c>
      <c r="I16" s="42">
        <f t="shared" si="12"/>
        <v>1.627</v>
      </c>
      <c r="J16" s="42">
        <f t="shared" si="13"/>
        <v>1.6778</v>
      </c>
      <c r="K16" s="42">
        <f t="shared" si="14"/>
        <v>1.6523999999999999</v>
      </c>
      <c r="L16" s="42">
        <f t="shared" si="15"/>
        <v>1.7007999999999999</v>
      </c>
      <c r="M16" s="42">
        <f t="shared" si="16"/>
        <v>1.8380999999999996</v>
      </c>
      <c r="N16" s="42">
        <f t="shared" si="17"/>
        <v>1.6778</v>
      </c>
      <c r="O16" s="42">
        <f t="shared" si="18"/>
        <v>0.95079999999999998</v>
      </c>
      <c r="P16" s="42">
        <f t="shared" si="19"/>
        <v>1.9015999999999997</v>
      </c>
      <c r="Q16" s="42">
        <f t="shared" si="20"/>
        <v>1.4769999999999996</v>
      </c>
      <c r="R16" s="42">
        <f t="shared" si="21"/>
        <v>1.4769999999999996</v>
      </c>
      <c r="S16" s="42">
        <f t="shared" si="22"/>
        <v>1.7285999999999999</v>
      </c>
      <c r="T16" s="42">
        <f t="shared" si="23"/>
        <v>0.71430000000000005</v>
      </c>
      <c r="U16" s="42">
        <f t="shared" si="24"/>
        <v>0.92780000000000007</v>
      </c>
      <c r="V16" s="42">
        <f t="shared" si="25"/>
        <v>1.3015999999999999</v>
      </c>
      <c r="W16" s="42">
        <f t="shared" si="26"/>
        <v>1.627</v>
      </c>
      <c r="X16" s="42">
        <f t="shared" si="27"/>
        <v>1.7134999999999998</v>
      </c>
      <c r="Y16" s="42">
        <f t="shared" si="28"/>
        <v>1.7896999999999998</v>
      </c>
      <c r="Z16" s="42">
        <f t="shared" si="29"/>
        <v>1.6778</v>
      </c>
      <c r="AA16" s="42">
        <f t="shared" si="30"/>
        <v>1.2278</v>
      </c>
      <c r="AB16" s="42">
        <f t="shared" si="31"/>
        <v>1.7261999999999997</v>
      </c>
      <c r="AC16" s="42">
        <f t="shared" si="32"/>
        <v>1.7388999999999999</v>
      </c>
      <c r="AD16" s="42">
        <f t="shared" si="33"/>
        <v>0.90239999999999998</v>
      </c>
      <c r="AE16" s="42">
        <f t="shared" si="34"/>
        <v>1.7007999999999999</v>
      </c>
      <c r="AF16" s="42">
        <f t="shared" si="35"/>
        <v>1.3523999999999998</v>
      </c>
      <c r="AG16" s="42">
        <f t="shared" si="36"/>
        <v>1.7031999999999998</v>
      </c>
      <c r="AH16" s="42">
        <f t="shared" si="37"/>
        <v>1.65</v>
      </c>
      <c r="AI16" s="42">
        <f t="shared" si="38"/>
        <v>1.627</v>
      </c>
      <c r="AJ16" s="42">
        <f t="shared" si="39"/>
        <v>1.0015999999999998</v>
      </c>
      <c r="AK16" s="42">
        <f t="shared" si="40"/>
        <v>1.6778</v>
      </c>
      <c r="AL16" s="42">
        <f t="shared" si="41"/>
        <v>0.92780000000000007</v>
      </c>
      <c r="AM16" s="42">
        <f t="shared" si="42"/>
        <v>1.7007999999999999</v>
      </c>
      <c r="AN16" s="42">
        <f t="shared" si="43"/>
        <v>1.6778</v>
      </c>
      <c r="AO16" s="42">
        <f t="shared" si="44"/>
        <v>1.7285999999999999</v>
      </c>
      <c r="AP16" s="42">
        <f t="shared" si="45"/>
        <v>1.3753999999999997</v>
      </c>
      <c r="AQ16" s="42">
        <f t="shared" si="46"/>
        <v>1.7285999999999999</v>
      </c>
      <c r="AR16" s="42">
        <f t="shared" si="47"/>
        <v>1.7007999999999999</v>
      </c>
      <c r="AS16" s="42">
        <f t="shared" si="48"/>
        <v>1.7007999999999999</v>
      </c>
      <c r="AT16" s="92">
        <f>AT17-0.0254</f>
        <v>1.4045999999999998</v>
      </c>
      <c r="AU16" s="92">
        <f t="shared" si="1"/>
        <v>1.8745999999999998</v>
      </c>
      <c r="AV16" s="92">
        <f t="shared" si="1"/>
        <v>1.9545999999999999</v>
      </c>
      <c r="AW16" s="92">
        <f t="shared" si="1"/>
        <v>1.0045999999999999</v>
      </c>
      <c r="AX16" s="92">
        <f t="shared" si="1"/>
        <v>1.7245999999999999</v>
      </c>
      <c r="AY16" s="92">
        <f t="shared" si="1"/>
        <v>1.8046</v>
      </c>
      <c r="AZ16" s="92">
        <f t="shared" si="1"/>
        <v>1.6245999999999998</v>
      </c>
      <c r="BA16" s="92">
        <f t="shared" si="1"/>
        <v>1.6045999999999998</v>
      </c>
      <c r="BB16" s="92">
        <f t="shared" si="1"/>
        <v>1.8745999999999998</v>
      </c>
      <c r="BC16" s="92">
        <f t="shared" si="1"/>
        <v>1.1745999999999999</v>
      </c>
      <c r="BD16" s="92">
        <f t="shared" si="1"/>
        <v>3.2746</v>
      </c>
      <c r="BE16" s="92">
        <f>BE17-0.0254</f>
        <v>1.4045999999999998</v>
      </c>
      <c r="BF16" s="92">
        <f>BF17-0.0254</f>
        <v>1.4045999999999998</v>
      </c>
      <c r="BG16" s="92">
        <f t="shared" si="1"/>
        <v>1.6045999999999998</v>
      </c>
      <c r="BH16" s="92">
        <f t="shared" si="1"/>
        <v>1.9046000000000001</v>
      </c>
      <c r="BI16" s="92">
        <f t="shared" si="1"/>
        <v>1.7746</v>
      </c>
      <c r="BJ16" s="92">
        <f t="shared" si="1"/>
        <v>1.8545999999999998</v>
      </c>
      <c r="BK16" s="92">
        <f t="shared" si="1"/>
        <v>1.0546</v>
      </c>
      <c r="BL16" s="92">
        <f t="shared" si="1"/>
        <v>1.1045999999999998</v>
      </c>
      <c r="BM16" s="92">
        <f t="shared" si="1"/>
        <v>1.6245999999999998</v>
      </c>
      <c r="BN16" s="92">
        <f t="shared" si="1"/>
        <v>2.1046</v>
      </c>
      <c r="BO16" s="92">
        <f t="shared" si="1"/>
        <v>1.6746000000000001</v>
      </c>
      <c r="BP16" s="92">
        <f t="shared" si="1"/>
        <v>3.5746000000000002</v>
      </c>
      <c r="BQ16" s="92">
        <f t="shared" si="1"/>
        <v>2.6746000000000003</v>
      </c>
      <c r="BR16" s="92">
        <f t="shared" si="2"/>
        <v>3.2746</v>
      </c>
      <c r="BS16" s="92">
        <f t="shared" si="2"/>
        <v>3.1246</v>
      </c>
      <c r="BT16" s="92">
        <f t="shared" si="2"/>
        <v>2.6996000000000002</v>
      </c>
    </row>
    <row r="17" spans="1:72" x14ac:dyDescent="0.2">
      <c r="B17" s="20"/>
      <c r="C17" s="42" t="s">
        <v>3492</v>
      </c>
      <c r="D17" s="62">
        <v>29.25</v>
      </c>
      <c r="E17" s="62"/>
      <c r="F17" s="43">
        <v>14</v>
      </c>
      <c r="G17" s="20">
        <v>51</v>
      </c>
      <c r="H17" s="62">
        <f t="shared" ref="H17:AS17" si="49">HLOOKUP(H2,$H$33:$AS$152,111,FALSE)</f>
        <v>1.7262</v>
      </c>
      <c r="I17" s="62">
        <f t="shared" si="49"/>
        <v>1.6524000000000001</v>
      </c>
      <c r="J17" s="62">
        <f t="shared" si="49"/>
        <v>1.7032</v>
      </c>
      <c r="K17" s="62">
        <f t="shared" si="49"/>
        <v>1.6778</v>
      </c>
      <c r="L17" s="62">
        <f t="shared" si="49"/>
        <v>1.7262</v>
      </c>
      <c r="M17" s="62">
        <f t="shared" si="49"/>
        <v>1.8634999999999997</v>
      </c>
      <c r="N17" s="62">
        <f t="shared" si="49"/>
        <v>1.7032</v>
      </c>
      <c r="O17" s="62">
        <f t="shared" si="49"/>
        <v>0.97619999999999996</v>
      </c>
      <c r="P17" s="62">
        <f t="shared" si="49"/>
        <v>1.9269999999999998</v>
      </c>
      <c r="Q17" s="62">
        <f t="shared" si="49"/>
        <v>1.5023999999999997</v>
      </c>
      <c r="R17" s="62">
        <f t="shared" si="49"/>
        <v>1.5023999999999997</v>
      </c>
      <c r="S17" s="62">
        <f t="shared" si="49"/>
        <v>1.754</v>
      </c>
      <c r="T17" s="62">
        <f t="shared" si="49"/>
        <v>0.73970000000000002</v>
      </c>
      <c r="U17" s="62">
        <f t="shared" si="49"/>
        <v>0.95320000000000005</v>
      </c>
      <c r="V17" s="62">
        <f t="shared" si="49"/>
        <v>1.327</v>
      </c>
      <c r="W17" s="62">
        <f t="shared" si="49"/>
        <v>1.6524000000000001</v>
      </c>
      <c r="X17" s="62">
        <f t="shared" si="49"/>
        <v>1.7388999999999999</v>
      </c>
      <c r="Y17" s="62">
        <f t="shared" si="49"/>
        <v>1.8150999999999999</v>
      </c>
      <c r="Z17" s="62">
        <f t="shared" si="49"/>
        <v>1.7032</v>
      </c>
      <c r="AA17" s="62">
        <f t="shared" si="49"/>
        <v>1.2532000000000001</v>
      </c>
      <c r="AB17" s="62">
        <f t="shared" si="49"/>
        <v>1.7515999999999998</v>
      </c>
      <c r="AC17" s="62">
        <f t="shared" si="49"/>
        <v>1.7643</v>
      </c>
      <c r="AD17" s="62">
        <f t="shared" si="49"/>
        <v>0.92779999999999996</v>
      </c>
      <c r="AE17" s="62">
        <f t="shared" si="49"/>
        <v>1.7262</v>
      </c>
      <c r="AF17" s="62">
        <f t="shared" si="49"/>
        <v>1.3777999999999999</v>
      </c>
      <c r="AG17" s="62">
        <f t="shared" si="49"/>
        <v>1.7285999999999999</v>
      </c>
      <c r="AH17" s="62">
        <f t="shared" si="49"/>
        <v>1.6754</v>
      </c>
      <c r="AI17" s="62">
        <f t="shared" si="49"/>
        <v>1.6524000000000001</v>
      </c>
      <c r="AJ17" s="62">
        <f t="shared" si="49"/>
        <v>1.0269999999999999</v>
      </c>
      <c r="AK17" s="62">
        <f t="shared" si="49"/>
        <v>1.7032</v>
      </c>
      <c r="AL17" s="62">
        <f t="shared" si="49"/>
        <v>0.95320000000000005</v>
      </c>
      <c r="AM17" s="62">
        <f t="shared" si="49"/>
        <v>1.7262</v>
      </c>
      <c r="AN17" s="62">
        <f t="shared" si="49"/>
        <v>1.7032</v>
      </c>
      <c r="AO17" s="62">
        <f t="shared" si="49"/>
        <v>1.754</v>
      </c>
      <c r="AP17" s="62">
        <f t="shared" si="49"/>
        <v>1.4007999999999998</v>
      </c>
      <c r="AQ17" s="62">
        <f t="shared" si="49"/>
        <v>1.754</v>
      </c>
      <c r="AR17" s="62">
        <f t="shared" si="49"/>
        <v>1.7262</v>
      </c>
      <c r="AS17" s="62">
        <f t="shared" si="49"/>
        <v>1.7262</v>
      </c>
      <c r="AT17" s="93">
        <v>1.43</v>
      </c>
      <c r="AU17" s="93">
        <v>1.9</v>
      </c>
      <c r="AV17" s="93">
        <v>1.98</v>
      </c>
      <c r="AW17" s="93">
        <v>1.03</v>
      </c>
      <c r="AX17" s="93">
        <v>1.75</v>
      </c>
      <c r="AY17" s="93">
        <v>1.83</v>
      </c>
      <c r="AZ17" s="93">
        <v>1.65</v>
      </c>
      <c r="BA17" s="93">
        <v>1.63</v>
      </c>
      <c r="BB17" s="93">
        <v>1.9</v>
      </c>
      <c r="BC17" s="93">
        <v>1.2</v>
      </c>
      <c r="BD17" s="93">
        <v>3.3</v>
      </c>
      <c r="BE17" s="93">
        <v>1.43</v>
      </c>
      <c r="BF17" s="93">
        <v>1.43</v>
      </c>
      <c r="BG17" s="93">
        <v>1.63</v>
      </c>
      <c r="BH17" s="87">
        <v>1.9300000000000002</v>
      </c>
      <c r="BI17" s="87">
        <v>1.8</v>
      </c>
      <c r="BJ17" s="87">
        <v>1.88</v>
      </c>
      <c r="BK17" s="87">
        <v>1.08</v>
      </c>
      <c r="BL17" s="87">
        <v>1.1299999999999999</v>
      </c>
      <c r="BM17" s="87">
        <v>1.65</v>
      </c>
      <c r="BN17" s="87">
        <v>2.13</v>
      </c>
      <c r="BO17" s="87">
        <v>1.7000000000000002</v>
      </c>
      <c r="BP17" s="87">
        <v>3.6</v>
      </c>
      <c r="BQ17" s="87">
        <v>2.7</v>
      </c>
      <c r="BR17" s="78">
        <f>BR143</f>
        <v>3.3</v>
      </c>
      <c r="BS17" s="78">
        <v>3.15</v>
      </c>
      <c r="BT17" s="78">
        <v>2.7250000000000001</v>
      </c>
    </row>
    <row r="18" spans="1:72" x14ac:dyDescent="0.2">
      <c r="C18" s="42" t="s">
        <v>3493</v>
      </c>
      <c r="D18" s="63">
        <f>D17/D16</f>
        <v>0.17205882352941176</v>
      </c>
      <c r="E18" s="42"/>
      <c r="F18" s="43">
        <v>15</v>
      </c>
      <c r="G18" s="12">
        <v>66</v>
      </c>
      <c r="H18" s="42">
        <f t="shared" ref="H18:H23" si="50">H17+0.0254</f>
        <v>1.7516</v>
      </c>
      <c r="I18" s="42">
        <f t="shared" ref="I18:AS23" si="51">I17+0.0254</f>
        <v>1.6778000000000002</v>
      </c>
      <c r="J18" s="42">
        <f t="shared" si="51"/>
        <v>1.7286000000000001</v>
      </c>
      <c r="K18" s="42">
        <f t="shared" si="51"/>
        <v>1.7032</v>
      </c>
      <c r="L18" s="42">
        <f t="shared" si="51"/>
        <v>1.7516</v>
      </c>
      <c r="M18" s="42">
        <f t="shared" si="51"/>
        <v>1.8888999999999998</v>
      </c>
      <c r="N18" s="42">
        <f t="shared" si="51"/>
        <v>1.7286000000000001</v>
      </c>
      <c r="O18" s="42">
        <f t="shared" si="51"/>
        <v>1.0016</v>
      </c>
      <c r="P18" s="42">
        <f t="shared" si="51"/>
        <v>1.9523999999999999</v>
      </c>
      <c r="Q18" s="42">
        <f t="shared" si="51"/>
        <v>1.5277999999999998</v>
      </c>
      <c r="R18" s="42">
        <f t="shared" si="51"/>
        <v>1.5277999999999998</v>
      </c>
      <c r="S18" s="42">
        <f t="shared" si="51"/>
        <v>1.7794000000000001</v>
      </c>
      <c r="T18" s="42">
        <f t="shared" si="51"/>
        <v>0.7651</v>
      </c>
      <c r="U18" s="42">
        <f t="shared" si="51"/>
        <v>0.97860000000000003</v>
      </c>
      <c r="V18" s="42">
        <f t="shared" si="51"/>
        <v>1.3524</v>
      </c>
      <c r="W18" s="42">
        <f t="shared" si="51"/>
        <v>1.6778000000000002</v>
      </c>
      <c r="X18" s="42">
        <f t="shared" si="51"/>
        <v>1.7643</v>
      </c>
      <c r="Y18" s="42">
        <f t="shared" si="51"/>
        <v>1.8405</v>
      </c>
      <c r="Z18" s="42">
        <f t="shared" si="51"/>
        <v>1.7286000000000001</v>
      </c>
      <c r="AA18" s="42">
        <f t="shared" si="51"/>
        <v>1.2786000000000002</v>
      </c>
      <c r="AB18" s="42">
        <f t="shared" si="51"/>
        <v>1.7769999999999999</v>
      </c>
      <c r="AC18" s="42">
        <f t="shared" si="51"/>
        <v>1.7897000000000001</v>
      </c>
      <c r="AD18" s="42">
        <f t="shared" si="51"/>
        <v>0.95319999999999994</v>
      </c>
      <c r="AE18" s="42">
        <f t="shared" si="51"/>
        <v>1.7516</v>
      </c>
      <c r="AF18" s="42">
        <f t="shared" si="51"/>
        <v>1.4032</v>
      </c>
      <c r="AG18" s="42">
        <f t="shared" si="51"/>
        <v>1.754</v>
      </c>
      <c r="AH18" s="42">
        <f t="shared" si="51"/>
        <v>1.7008000000000001</v>
      </c>
      <c r="AI18" s="42">
        <f t="shared" si="51"/>
        <v>1.6778000000000002</v>
      </c>
      <c r="AJ18" s="42">
        <f t="shared" si="51"/>
        <v>1.0524</v>
      </c>
      <c r="AK18" s="42">
        <f t="shared" si="51"/>
        <v>1.7286000000000001</v>
      </c>
      <c r="AL18" s="42">
        <f t="shared" si="51"/>
        <v>0.97860000000000003</v>
      </c>
      <c r="AM18" s="42">
        <f t="shared" si="51"/>
        <v>1.7516</v>
      </c>
      <c r="AN18" s="42">
        <f t="shared" si="51"/>
        <v>1.7286000000000001</v>
      </c>
      <c r="AO18" s="42">
        <f t="shared" si="51"/>
        <v>1.7794000000000001</v>
      </c>
      <c r="AP18" s="42">
        <f t="shared" si="51"/>
        <v>1.4261999999999999</v>
      </c>
      <c r="AQ18" s="42">
        <f t="shared" si="51"/>
        <v>1.7794000000000001</v>
      </c>
      <c r="AR18" s="42">
        <f t="shared" si="51"/>
        <v>1.7516</v>
      </c>
      <c r="AS18" s="42">
        <f t="shared" si="51"/>
        <v>1.7516</v>
      </c>
      <c r="AT18" s="92">
        <v>1.43</v>
      </c>
      <c r="AU18" s="92">
        <f t="shared" ref="AU18" si="52">AU17+0.0254</f>
        <v>1.9254</v>
      </c>
      <c r="AV18" s="92">
        <f t="shared" ref="AV18:BD31" si="53">AV17+0.0254</f>
        <v>2.0053999999999998</v>
      </c>
      <c r="AW18" s="92">
        <f t="shared" si="53"/>
        <v>1.0554000000000001</v>
      </c>
      <c r="AX18" s="92">
        <f t="shared" si="53"/>
        <v>1.7754000000000001</v>
      </c>
      <c r="AY18" s="92">
        <f t="shared" si="53"/>
        <v>1.8554000000000002</v>
      </c>
      <c r="AZ18" s="92">
        <f t="shared" si="53"/>
        <v>1.6754</v>
      </c>
      <c r="BA18" s="92">
        <f t="shared" si="53"/>
        <v>1.6554</v>
      </c>
      <c r="BB18" s="92">
        <f t="shared" si="53"/>
        <v>1.9254</v>
      </c>
      <c r="BC18" s="92">
        <f t="shared" si="53"/>
        <v>1.2254</v>
      </c>
      <c r="BD18" s="92">
        <f t="shared" si="53"/>
        <v>3.3253999999999997</v>
      </c>
      <c r="BE18" s="92">
        <v>1.43</v>
      </c>
      <c r="BF18" s="92">
        <v>1.43</v>
      </c>
      <c r="BG18" s="92">
        <f t="shared" ref="BG18:BP31" si="54">BG17+0.0254</f>
        <v>1.6554</v>
      </c>
      <c r="BH18" s="92">
        <f t="shared" si="54"/>
        <v>1.9554000000000002</v>
      </c>
      <c r="BI18" s="92">
        <f t="shared" si="54"/>
        <v>1.8254000000000001</v>
      </c>
      <c r="BJ18" s="92">
        <f t="shared" si="54"/>
        <v>1.9054</v>
      </c>
      <c r="BK18" s="92">
        <f t="shared" si="54"/>
        <v>1.1054000000000002</v>
      </c>
      <c r="BL18" s="92">
        <f t="shared" si="54"/>
        <v>1.1554</v>
      </c>
      <c r="BM18" s="92">
        <f t="shared" si="54"/>
        <v>1.6754</v>
      </c>
      <c r="BN18" s="92">
        <f t="shared" si="54"/>
        <v>2.1553999999999998</v>
      </c>
      <c r="BO18" s="92">
        <f t="shared" si="54"/>
        <v>1.7254000000000003</v>
      </c>
      <c r="BP18" s="92">
        <f t="shared" si="54"/>
        <v>3.6254</v>
      </c>
      <c r="BQ18" s="92">
        <f t="shared" ref="BQ18:BS18" si="55">BQ17+0.0254</f>
        <v>2.7254</v>
      </c>
      <c r="BR18" s="92">
        <f t="shared" si="55"/>
        <v>3.3253999999999997</v>
      </c>
      <c r="BS18" s="92">
        <f t="shared" si="55"/>
        <v>3.1753999999999998</v>
      </c>
      <c r="BT18" s="92">
        <f t="shared" ref="BT18" si="56">BT17+0.0254</f>
        <v>2.7504</v>
      </c>
    </row>
    <row r="19" spans="1:72" x14ac:dyDescent="0.2">
      <c r="C19" s="42"/>
      <c r="D19" s="42"/>
      <c r="E19" s="42"/>
      <c r="F19" s="43">
        <v>16</v>
      </c>
      <c r="G19" s="12">
        <v>78</v>
      </c>
      <c r="H19" s="42">
        <f t="shared" si="50"/>
        <v>1.7770000000000001</v>
      </c>
      <c r="I19" s="42">
        <f t="shared" si="51"/>
        <v>1.7032000000000003</v>
      </c>
      <c r="J19" s="42">
        <f t="shared" si="51"/>
        <v>1.7540000000000002</v>
      </c>
      <c r="K19" s="42">
        <f t="shared" si="51"/>
        <v>1.7286000000000001</v>
      </c>
      <c r="L19" s="42">
        <f t="shared" si="51"/>
        <v>1.7770000000000001</v>
      </c>
      <c r="M19" s="42">
        <f t="shared" si="51"/>
        <v>1.9142999999999999</v>
      </c>
      <c r="N19" s="42">
        <f t="shared" si="51"/>
        <v>1.7540000000000002</v>
      </c>
      <c r="O19" s="42">
        <f t="shared" si="51"/>
        <v>1.0270000000000001</v>
      </c>
      <c r="P19" s="42">
        <f t="shared" si="51"/>
        <v>1.9778</v>
      </c>
      <c r="Q19" s="42">
        <f t="shared" si="51"/>
        <v>1.5531999999999999</v>
      </c>
      <c r="R19" s="42">
        <f t="shared" si="51"/>
        <v>1.5531999999999999</v>
      </c>
      <c r="S19" s="42">
        <f t="shared" si="51"/>
        <v>1.8048000000000002</v>
      </c>
      <c r="T19" s="42">
        <f t="shared" si="51"/>
        <v>0.79049999999999998</v>
      </c>
      <c r="U19" s="42">
        <f t="shared" si="51"/>
        <v>1.004</v>
      </c>
      <c r="V19" s="42">
        <f t="shared" si="51"/>
        <v>1.3778000000000001</v>
      </c>
      <c r="W19" s="42">
        <f t="shared" si="51"/>
        <v>1.7032000000000003</v>
      </c>
      <c r="X19" s="42">
        <f t="shared" si="51"/>
        <v>1.7897000000000001</v>
      </c>
      <c r="Y19" s="42">
        <f t="shared" si="51"/>
        <v>1.8659000000000001</v>
      </c>
      <c r="Z19" s="42">
        <f t="shared" si="51"/>
        <v>1.7540000000000002</v>
      </c>
      <c r="AA19" s="42">
        <f t="shared" si="51"/>
        <v>1.3040000000000003</v>
      </c>
      <c r="AB19" s="42">
        <f t="shared" si="51"/>
        <v>1.8024</v>
      </c>
      <c r="AC19" s="42">
        <f t="shared" si="51"/>
        <v>1.8151000000000002</v>
      </c>
      <c r="AD19" s="42">
        <f t="shared" si="51"/>
        <v>0.97859999999999991</v>
      </c>
      <c r="AE19" s="42">
        <f t="shared" si="51"/>
        <v>1.7770000000000001</v>
      </c>
      <c r="AF19" s="42">
        <f t="shared" si="51"/>
        <v>1.4286000000000001</v>
      </c>
      <c r="AG19" s="42">
        <f t="shared" si="51"/>
        <v>1.7794000000000001</v>
      </c>
      <c r="AH19" s="42">
        <f t="shared" si="51"/>
        <v>1.7262000000000002</v>
      </c>
      <c r="AI19" s="42">
        <f t="shared" si="51"/>
        <v>1.7032000000000003</v>
      </c>
      <c r="AJ19" s="42">
        <f t="shared" si="51"/>
        <v>1.0778000000000001</v>
      </c>
      <c r="AK19" s="42">
        <f t="shared" si="51"/>
        <v>1.7540000000000002</v>
      </c>
      <c r="AL19" s="42">
        <f t="shared" si="51"/>
        <v>1.004</v>
      </c>
      <c r="AM19" s="42">
        <f t="shared" si="51"/>
        <v>1.7770000000000001</v>
      </c>
      <c r="AN19" s="42">
        <f t="shared" si="51"/>
        <v>1.7540000000000002</v>
      </c>
      <c r="AO19" s="42">
        <f t="shared" si="51"/>
        <v>1.8048000000000002</v>
      </c>
      <c r="AP19" s="42">
        <f t="shared" si="51"/>
        <v>1.4516</v>
      </c>
      <c r="AQ19" s="42">
        <f t="shared" si="51"/>
        <v>1.8048000000000002</v>
      </c>
      <c r="AR19" s="42">
        <f t="shared" si="51"/>
        <v>1.7770000000000001</v>
      </c>
      <c r="AS19" s="42">
        <f t="shared" si="51"/>
        <v>1.7770000000000001</v>
      </c>
      <c r="AT19" s="92">
        <f>AT18+0.0254</f>
        <v>1.4554</v>
      </c>
      <c r="AU19" s="92">
        <f t="shared" ref="AU19" si="57">AU18+0.0254</f>
        <v>1.9508000000000001</v>
      </c>
      <c r="AV19" s="92">
        <f t="shared" si="53"/>
        <v>2.0307999999999997</v>
      </c>
      <c r="AW19" s="92">
        <f t="shared" si="53"/>
        <v>1.0808000000000002</v>
      </c>
      <c r="AX19" s="92">
        <f t="shared" si="53"/>
        <v>1.8008000000000002</v>
      </c>
      <c r="AY19" s="92">
        <f t="shared" si="53"/>
        <v>1.8808000000000002</v>
      </c>
      <c r="AZ19" s="92">
        <f t="shared" si="53"/>
        <v>1.7008000000000001</v>
      </c>
      <c r="BA19" s="92">
        <f t="shared" si="53"/>
        <v>1.6808000000000001</v>
      </c>
      <c r="BB19" s="92">
        <f t="shared" si="53"/>
        <v>1.9508000000000001</v>
      </c>
      <c r="BC19" s="92">
        <f t="shared" si="53"/>
        <v>1.2508000000000001</v>
      </c>
      <c r="BD19" s="92">
        <f t="shared" si="53"/>
        <v>3.3507999999999996</v>
      </c>
      <c r="BE19" s="92">
        <f>BE18+0.0254</f>
        <v>1.4554</v>
      </c>
      <c r="BF19" s="92">
        <f>BF18+0.0254</f>
        <v>1.4554</v>
      </c>
      <c r="BG19" s="92">
        <f t="shared" si="54"/>
        <v>1.6808000000000001</v>
      </c>
      <c r="BH19" s="92">
        <f t="shared" si="54"/>
        <v>1.9808000000000003</v>
      </c>
      <c r="BI19" s="92">
        <f t="shared" si="54"/>
        <v>1.8508000000000002</v>
      </c>
      <c r="BJ19" s="92">
        <f t="shared" si="54"/>
        <v>1.9308000000000001</v>
      </c>
      <c r="BK19" s="92">
        <f t="shared" si="54"/>
        <v>1.1308000000000002</v>
      </c>
      <c r="BL19" s="92">
        <f t="shared" si="54"/>
        <v>1.1808000000000001</v>
      </c>
      <c r="BM19" s="92">
        <f t="shared" si="54"/>
        <v>1.7008000000000001</v>
      </c>
      <c r="BN19" s="92">
        <f t="shared" si="54"/>
        <v>2.1807999999999996</v>
      </c>
      <c r="BO19" s="92">
        <f t="shared" si="54"/>
        <v>1.7508000000000004</v>
      </c>
      <c r="BP19" s="92">
        <f t="shared" ref="BP19:BQ19" si="58">BP18+0.0254</f>
        <v>3.6507999999999998</v>
      </c>
      <c r="BQ19" s="92">
        <f t="shared" si="58"/>
        <v>2.7507999999999999</v>
      </c>
      <c r="BR19" s="92">
        <f t="shared" ref="BR19:BS19" si="59">BR18+0.0254</f>
        <v>3.3507999999999996</v>
      </c>
      <c r="BS19" s="92">
        <f t="shared" si="59"/>
        <v>3.2007999999999996</v>
      </c>
      <c r="BT19" s="92">
        <f t="shared" ref="BT19" si="60">BT18+0.0254</f>
        <v>2.7757999999999998</v>
      </c>
    </row>
    <row r="20" spans="1:72" x14ac:dyDescent="0.2">
      <c r="C20" s="42">
        <v>120</v>
      </c>
      <c r="D20" s="42">
        <f>D18*C20</f>
        <v>20.647058823529413</v>
      </c>
      <c r="E20" s="42"/>
      <c r="F20" s="43">
        <v>17</v>
      </c>
      <c r="G20" s="12">
        <v>87</v>
      </c>
      <c r="H20" s="42">
        <f t="shared" si="50"/>
        <v>1.8024000000000002</v>
      </c>
      <c r="I20" s="42">
        <f t="shared" si="51"/>
        <v>1.7286000000000004</v>
      </c>
      <c r="J20" s="42">
        <f t="shared" si="51"/>
        <v>1.7794000000000003</v>
      </c>
      <c r="K20" s="42">
        <f t="shared" si="51"/>
        <v>1.7540000000000002</v>
      </c>
      <c r="L20" s="42">
        <f t="shared" si="51"/>
        <v>1.8024000000000002</v>
      </c>
      <c r="M20" s="42">
        <f t="shared" si="51"/>
        <v>1.9397</v>
      </c>
      <c r="N20" s="42">
        <f t="shared" si="51"/>
        <v>1.7794000000000003</v>
      </c>
      <c r="O20" s="42">
        <f t="shared" si="51"/>
        <v>1.0524000000000002</v>
      </c>
      <c r="P20" s="42">
        <f t="shared" si="51"/>
        <v>2.0032000000000001</v>
      </c>
      <c r="Q20" s="42">
        <f t="shared" si="51"/>
        <v>1.5786</v>
      </c>
      <c r="R20" s="42">
        <f t="shared" si="51"/>
        <v>1.5786</v>
      </c>
      <c r="S20" s="42">
        <f t="shared" si="51"/>
        <v>1.8302000000000003</v>
      </c>
      <c r="T20" s="42">
        <f t="shared" si="51"/>
        <v>0.81589999999999996</v>
      </c>
      <c r="U20" s="42">
        <f t="shared" si="51"/>
        <v>1.0294000000000001</v>
      </c>
      <c r="V20" s="42">
        <f t="shared" si="51"/>
        <v>1.4032000000000002</v>
      </c>
      <c r="W20" s="42">
        <f t="shared" si="51"/>
        <v>1.7286000000000004</v>
      </c>
      <c r="X20" s="42">
        <f t="shared" si="51"/>
        <v>1.8151000000000002</v>
      </c>
      <c r="Y20" s="42">
        <f t="shared" si="51"/>
        <v>1.8913000000000002</v>
      </c>
      <c r="Z20" s="42">
        <f t="shared" si="51"/>
        <v>1.7794000000000003</v>
      </c>
      <c r="AA20" s="42">
        <f t="shared" si="51"/>
        <v>1.3294000000000004</v>
      </c>
      <c r="AB20" s="42">
        <f t="shared" si="51"/>
        <v>1.8278000000000001</v>
      </c>
      <c r="AC20" s="42">
        <f t="shared" si="51"/>
        <v>1.8405000000000002</v>
      </c>
      <c r="AD20" s="42">
        <f t="shared" si="51"/>
        <v>1.004</v>
      </c>
      <c r="AE20" s="42">
        <f t="shared" si="51"/>
        <v>1.8024000000000002</v>
      </c>
      <c r="AF20" s="42">
        <f t="shared" si="51"/>
        <v>1.4540000000000002</v>
      </c>
      <c r="AG20" s="42">
        <f t="shared" si="51"/>
        <v>1.8048000000000002</v>
      </c>
      <c r="AH20" s="42">
        <f t="shared" si="51"/>
        <v>1.7516000000000003</v>
      </c>
      <c r="AI20" s="42">
        <f t="shared" si="51"/>
        <v>1.7286000000000004</v>
      </c>
      <c r="AJ20" s="42">
        <f t="shared" si="51"/>
        <v>1.1032000000000002</v>
      </c>
      <c r="AK20" s="42">
        <f t="shared" si="51"/>
        <v>1.7794000000000003</v>
      </c>
      <c r="AL20" s="42">
        <f t="shared" si="51"/>
        <v>1.0294000000000001</v>
      </c>
      <c r="AM20" s="42">
        <f t="shared" si="51"/>
        <v>1.8024000000000002</v>
      </c>
      <c r="AN20" s="42">
        <f t="shared" si="51"/>
        <v>1.7794000000000003</v>
      </c>
      <c r="AO20" s="42">
        <f t="shared" si="51"/>
        <v>1.8302000000000003</v>
      </c>
      <c r="AP20" s="42">
        <f t="shared" si="51"/>
        <v>1.4770000000000001</v>
      </c>
      <c r="AQ20" s="42">
        <f t="shared" si="51"/>
        <v>1.8302000000000003</v>
      </c>
      <c r="AR20" s="42">
        <f t="shared" si="51"/>
        <v>1.8024000000000002</v>
      </c>
      <c r="AS20" s="42">
        <f t="shared" si="51"/>
        <v>1.8024000000000002</v>
      </c>
      <c r="AT20" s="92">
        <v>1.46</v>
      </c>
      <c r="AU20" s="92">
        <f t="shared" ref="AU20" si="61">AU19+0.0254</f>
        <v>1.9762000000000002</v>
      </c>
      <c r="AV20" s="92">
        <f t="shared" si="53"/>
        <v>2.0561999999999996</v>
      </c>
      <c r="AW20" s="92">
        <f t="shared" si="53"/>
        <v>1.1062000000000003</v>
      </c>
      <c r="AX20" s="92">
        <f t="shared" si="53"/>
        <v>1.8262000000000003</v>
      </c>
      <c r="AY20" s="92">
        <f t="shared" si="53"/>
        <v>1.9062000000000003</v>
      </c>
      <c r="AZ20" s="92">
        <f t="shared" si="53"/>
        <v>1.7262000000000002</v>
      </c>
      <c r="BA20" s="92">
        <f t="shared" si="53"/>
        <v>1.7062000000000002</v>
      </c>
      <c r="BB20" s="92">
        <f t="shared" si="53"/>
        <v>1.9762000000000002</v>
      </c>
      <c r="BC20" s="92">
        <f t="shared" si="53"/>
        <v>1.2762000000000002</v>
      </c>
      <c r="BD20" s="92">
        <f t="shared" si="53"/>
        <v>3.3761999999999994</v>
      </c>
      <c r="BE20" s="92">
        <v>1.46</v>
      </c>
      <c r="BF20" s="92">
        <v>1.46</v>
      </c>
      <c r="BG20" s="92">
        <f t="shared" si="54"/>
        <v>1.7062000000000002</v>
      </c>
      <c r="BH20" s="92">
        <f t="shared" si="54"/>
        <v>2.0062000000000002</v>
      </c>
      <c r="BI20" s="92">
        <f t="shared" si="54"/>
        <v>1.8762000000000003</v>
      </c>
      <c r="BJ20" s="92">
        <f t="shared" si="54"/>
        <v>1.9562000000000002</v>
      </c>
      <c r="BK20" s="92">
        <f t="shared" si="54"/>
        <v>1.1562000000000003</v>
      </c>
      <c r="BL20" s="92">
        <f t="shared" si="54"/>
        <v>1.2062000000000002</v>
      </c>
      <c r="BM20" s="92">
        <f t="shared" si="54"/>
        <v>1.7262000000000002</v>
      </c>
      <c r="BN20" s="92">
        <f t="shared" si="54"/>
        <v>2.2061999999999995</v>
      </c>
      <c r="BO20" s="92">
        <f t="shared" si="54"/>
        <v>1.7762000000000004</v>
      </c>
      <c r="BP20" s="92">
        <f t="shared" ref="BP20:BQ20" si="62">BP19+0.0254</f>
        <v>3.6761999999999997</v>
      </c>
      <c r="BQ20" s="92">
        <f t="shared" si="62"/>
        <v>2.7761999999999998</v>
      </c>
      <c r="BR20" s="92">
        <f t="shared" ref="BR20:BS20" si="63">BR19+0.0254</f>
        <v>3.3761999999999994</v>
      </c>
      <c r="BS20" s="92">
        <f t="shared" si="63"/>
        <v>3.2261999999999995</v>
      </c>
      <c r="BT20" s="92">
        <f t="shared" ref="BT20" si="64">BT19+0.0254</f>
        <v>2.8011999999999997</v>
      </c>
    </row>
    <row r="21" spans="1:72" x14ac:dyDescent="0.2">
      <c r="C21" s="42"/>
      <c r="D21" s="42"/>
      <c r="E21" s="42"/>
      <c r="F21" s="43">
        <v>18</v>
      </c>
      <c r="G21" s="12">
        <v>93</v>
      </c>
      <c r="H21" s="42">
        <f t="shared" si="50"/>
        <v>1.8278000000000003</v>
      </c>
      <c r="I21" s="42">
        <f t="shared" si="51"/>
        <v>1.7540000000000004</v>
      </c>
      <c r="J21" s="42">
        <f t="shared" si="51"/>
        <v>1.8048000000000004</v>
      </c>
      <c r="K21" s="42">
        <f t="shared" si="51"/>
        <v>1.7794000000000003</v>
      </c>
      <c r="L21" s="42">
        <f t="shared" si="51"/>
        <v>1.8278000000000003</v>
      </c>
      <c r="M21" s="42">
        <f t="shared" si="51"/>
        <v>1.9651000000000001</v>
      </c>
      <c r="N21" s="42">
        <f t="shared" si="51"/>
        <v>1.8048000000000004</v>
      </c>
      <c r="O21" s="42">
        <f t="shared" si="51"/>
        <v>1.0778000000000003</v>
      </c>
      <c r="P21" s="42">
        <f t="shared" si="51"/>
        <v>2.0286</v>
      </c>
      <c r="Q21" s="42">
        <f t="shared" si="51"/>
        <v>1.6040000000000001</v>
      </c>
      <c r="R21" s="42">
        <f t="shared" si="51"/>
        <v>1.6040000000000001</v>
      </c>
      <c r="S21" s="42">
        <f t="shared" si="51"/>
        <v>1.8556000000000004</v>
      </c>
      <c r="T21" s="42">
        <f t="shared" si="51"/>
        <v>0.84129999999999994</v>
      </c>
      <c r="U21" s="42">
        <f t="shared" si="51"/>
        <v>1.0548000000000002</v>
      </c>
      <c r="V21" s="42">
        <f t="shared" si="51"/>
        <v>1.4286000000000003</v>
      </c>
      <c r="W21" s="42">
        <f t="shared" si="51"/>
        <v>1.7540000000000004</v>
      </c>
      <c r="X21" s="42">
        <f t="shared" si="51"/>
        <v>1.8405000000000002</v>
      </c>
      <c r="Y21" s="42">
        <f t="shared" si="51"/>
        <v>1.9167000000000003</v>
      </c>
      <c r="Z21" s="42">
        <f t="shared" si="51"/>
        <v>1.8048000000000004</v>
      </c>
      <c r="AA21" s="42">
        <f t="shared" si="51"/>
        <v>1.3548000000000004</v>
      </c>
      <c r="AB21" s="42">
        <f t="shared" si="51"/>
        <v>1.8532000000000002</v>
      </c>
      <c r="AC21" s="42">
        <f t="shared" si="51"/>
        <v>1.8659000000000003</v>
      </c>
      <c r="AD21" s="42">
        <f t="shared" si="51"/>
        <v>1.0294000000000001</v>
      </c>
      <c r="AE21" s="42">
        <f t="shared" si="51"/>
        <v>1.8278000000000003</v>
      </c>
      <c r="AF21" s="42">
        <f t="shared" si="51"/>
        <v>1.4794000000000003</v>
      </c>
      <c r="AG21" s="42">
        <f t="shared" si="51"/>
        <v>1.8302000000000003</v>
      </c>
      <c r="AH21" s="42">
        <f t="shared" si="51"/>
        <v>1.7770000000000004</v>
      </c>
      <c r="AI21" s="42">
        <f t="shared" si="51"/>
        <v>1.7540000000000004</v>
      </c>
      <c r="AJ21" s="42">
        <f t="shared" si="51"/>
        <v>1.1286000000000003</v>
      </c>
      <c r="AK21" s="42">
        <f t="shared" si="51"/>
        <v>1.8048000000000004</v>
      </c>
      <c r="AL21" s="42">
        <f t="shared" si="51"/>
        <v>1.0548000000000002</v>
      </c>
      <c r="AM21" s="42">
        <f t="shared" si="51"/>
        <v>1.8278000000000003</v>
      </c>
      <c r="AN21" s="42">
        <f t="shared" si="51"/>
        <v>1.8048000000000004</v>
      </c>
      <c r="AO21" s="42">
        <f t="shared" si="51"/>
        <v>1.8556000000000004</v>
      </c>
      <c r="AP21" s="42">
        <f t="shared" si="51"/>
        <v>1.5024000000000002</v>
      </c>
      <c r="AQ21" s="42">
        <f t="shared" si="51"/>
        <v>1.8556000000000004</v>
      </c>
      <c r="AR21" s="42">
        <f t="shared" si="51"/>
        <v>1.8278000000000003</v>
      </c>
      <c r="AS21" s="42">
        <f t="shared" si="51"/>
        <v>1.8278000000000003</v>
      </c>
      <c r="AT21" s="92">
        <f>AT20+0.0254</f>
        <v>1.4854000000000001</v>
      </c>
      <c r="AU21" s="92">
        <f t="shared" ref="AU21" si="65">AU20+0.0254</f>
        <v>2.0016000000000003</v>
      </c>
      <c r="AV21" s="92">
        <f t="shared" si="53"/>
        <v>2.0815999999999995</v>
      </c>
      <c r="AW21" s="92">
        <f t="shared" si="53"/>
        <v>1.1316000000000004</v>
      </c>
      <c r="AX21" s="92">
        <f t="shared" si="53"/>
        <v>1.8516000000000004</v>
      </c>
      <c r="AY21" s="92">
        <f t="shared" si="53"/>
        <v>1.9316000000000004</v>
      </c>
      <c r="AZ21" s="92">
        <f t="shared" si="53"/>
        <v>1.7516000000000003</v>
      </c>
      <c r="BA21" s="92">
        <f t="shared" si="53"/>
        <v>1.7316000000000003</v>
      </c>
      <c r="BB21" s="92">
        <f t="shared" si="53"/>
        <v>2.0016000000000003</v>
      </c>
      <c r="BC21" s="92">
        <f t="shared" si="53"/>
        <v>1.3016000000000003</v>
      </c>
      <c r="BD21" s="92">
        <f t="shared" si="53"/>
        <v>3.4015999999999993</v>
      </c>
      <c r="BE21" s="92">
        <f>BE20+0.0254</f>
        <v>1.4854000000000001</v>
      </c>
      <c r="BF21" s="92">
        <f>BF20+0.0254</f>
        <v>1.4854000000000001</v>
      </c>
      <c r="BG21" s="92">
        <f t="shared" si="54"/>
        <v>1.7316000000000003</v>
      </c>
      <c r="BH21" s="92">
        <f t="shared" si="54"/>
        <v>2.0316000000000001</v>
      </c>
      <c r="BI21" s="92">
        <f t="shared" si="54"/>
        <v>1.9016000000000004</v>
      </c>
      <c r="BJ21" s="92">
        <f t="shared" si="54"/>
        <v>1.9816000000000003</v>
      </c>
      <c r="BK21" s="92">
        <f t="shared" si="54"/>
        <v>1.1816000000000004</v>
      </c>
      <c r="BL21" s="92">
        <f t="shared" si="54"/>
        <v>1.2316000000000003</v>
      </c>
      <c r="BM21" s="92">
        <f t="shared" si="54"/>
        <v>1.7516000000000003</v>
      </c>
      <c r="BN21" s="92">
        <f t="shared" si="54"/>
        <v>2.2315999999999994</v>
      </c>
      <c r="BO21" s="92">
        <f t="shared" si="54"/>
        <v>1.8016000000000005</v>
      </c>
      <c r="BP21" s="92">
        <f t="shared" ref="BP21:BQ21" si="66">BP20+0.0254</f>
        <v>3.7015999999999996</v>
      </c>
      <c r="BQ21" s="92">
        <f t="shared" si="66"/>
        <v>2.8015999999999996</v>
      </c>
      <c r="BR21" s="92">
        <f t="shared" ref="BR21:BS21" si="67">BR20+0.0254</f>
        <v>3.4015999999999993</v>
      </c>
      <c r="BS21" s="92">
        <f t="shared" si="67"/>
        <v>3.2515999999999994</v>
      </c>
      <c r="BT21" s="92">
        <f t="shared" ref="BT21" si="68">BT20+0.0254</f>
        <v>2.8265999999999996</v>
      </c>
    </row>
    <row r="22" spans="1:72" x14ac:dyDescent="0.2">
      <c r="C22" s="42"/>
      <c r="D22" s="42"/>
      <c r="E22" s="42"/>
      <c r="F22" s="43">
        <v>19</v>
      </c>
      <c r="G22" s="12">
        <v>96</v>
      </c>
      <c r="H22" s="42">
        <f t="shared" si="50"/>
        <v>1.8532000000000004</v>
      </c>
      <c r="I22" s="42">
        <f t="shared" si="51"/>
        <v>1.7794000000000005</v>
      </c>
      <c r="J22" s="42">
        <f t="shared" si="51"/>
        <v>1.8302000000000005</v>
      </c>
      <c r="K22" s="42">
        <f t="shared" si="51"/>
        <v>1.8048000000000004</v>
      </c>
      <c r="L22" s="42">
        <f t="shared" si="51"/>
        <v>1.8532000000000004</v>
      </c>
      <c r="M22" s="42">
        <f t="shared" si="51"/>
        <v>1.9905000000000002</v>
      </c>
      <c r="N22" s="42">
        <f t="shared" si="51"/>
        <v>1.8302000000000005</v>
      </c>
      <c r="O22" s="42">
        <f t="shared" si="51"/>
        <v>1.1032000000000004</v>
      </c>
      <c r="P22" s="42">
        <f t="shared" si="51"/>
        <v>2.0539999999999998</v>
      </c>
      <c r="Q22" s="42">
        <f t="shared" si="51"/>
        <v>1.6294000000000002</v>
      </c>
      <c r="R22" s="42">
        <f t="shared" si="51"/>
        <v>1.6294000000000002</v>
      </c>
      <c r="S22" s="42">
        <f t="shared" si="51"/>
        <v>1.8810000000000004</v>
      </c>
      <c r="T22" s="42">
        <f t="shared" si="51"/>
        <v>0.86669999999999991</v>
      </c>
      <c r="U22" s="42">
        <f t="shared" si="51"/>
        <v>1.0802000000000003</v>
      </c>
      <c r="V22" s="42">
        <f t="shared" si="51"/>
        <v>1.4540000000000004</v>
      </c>
      <c r="W22" s="42">
        <f t="shared" si="51"/>
        <v>1.7794000000000005</v>
      </c>
      <c r="X22" s="42">
        <f t="shared" si="51"/>
        <v>1.8659000000000003</v>
      </c>
      <c r="Y22" s="42">
        <f t="shared" si="51"/>
        <v>1.9421000000000004</v>
      </c>
      <c r="Z22" s="42">
        <f t="shared" si="51"/>
        <v>1.8302000000000005</v>
      </c>
      <c r="AA22" s="42">
        <f t="shared" si="51"/>
        <v>1.3802000000000005</v>
      </c>
      <c r="AB22" s="42">
        <f t="shared" si="51"/>
        <v>1.8786000000000003</v>
      </c>
      <c r="AC22" s="42">
        <f t="shared" si="51"/>
        <v>1.8913000000000004</v>
      </c>
      <c r="AD22" s="42">
        <f t="shared" si="51"/>
        <v>1.0548000000000002</v>
      </c>
      <c r="AE22" s="42">
        <f t="shared" si="51"/>
        <v>1.8532000000000004</v>
      </c>
      <c r="AF22" s="42">
        <f t="shared" si="51"/>
        <v>1.5048000000000004</v>
      </c>
      <c r="AG22" s="42">
        <f t="shared" si="51"/>
        <v>1.8556000000000004</v>
      </c>
      <c r="AH22" s="42">
        <f t="shared" si="51"/>
        <v>1.8024000000000004</v>
      </c>
      <c r="AI22" s="42">
        <f t="shared" si="51"/>
        <v>1.7794000000000005</v>
      </c>
      <c r="AJ22" s="42">
        <f t="shared" si="51"/>
        <v>1.1540000000000004</v>
      </c>
      <c r="AK22" s="42">
        <f t="shared" si="51"/>
        <v>1.8302000000000005</v>
      </c>
      <c r="AL22" s="42">
        <f t="shared" si="51"/>
        <v>1.0802000000000003</v>
      </c>
      <c r="AM22" s="42">
        <f t="shared" si="51"/>
        <v>1.8532000000000004</v>
      </c>
      <c r="AN22" s="42">
        <f t="shared" si="51"/>
        <v>1.8302000000000005</v>
      </c>
      <c r="AO22" s="42">
        <f t="shared" si="51"/>
        <v>1.8810000000000004</v>
      </c>
      <c r="AP22" s="42">
        <f t="shared" si="51"/>
        <v>1.5278000000000003</v>
      </c>
      <c r="AQ22" s="42">
        <f t="shared" si="51"/>
        <v>1.8810000000000004</v>
      </c>
      <c r="AR22" s="42">
        <f t="shared" si="51"/>
        <v>1.8532000000000004</v>
      </c>
      <c r="AS22" s="42">
        <f t="shared" si="51"/>
        <v>1.8532000000000004</v>
      </c>
      <c r="AT22" s="92">
        <v>1.49</v>
      </c>
      <c r="AU22" s="92">
        <f t="shared" ref="AU22" si="69">AU21+0.0254</f>
        <v>2.0270000000000001</v>
      </c>
      <c r="AV22" s="92">
        <f t="shared" si="53"/>
        <v>2.1069999999999993</v>
      </c>
      <c r="AW22" s="92">
        <f t="shared" si="53"/>
        <v>1.1570000000000005</v>
      </c>
      <c r="AX22" s="92">
        <f t="shared" si="53"/>
        <v>1.8770000000000004</v>
      </c>
      <c r="AY22" s="92">
        <f t="shared" si="53"/>
        <v>1.9570000000000005</v>
      </c>
      <c r="AZ22" s="92">
        <f t="shared" si="53"/>
        <v>1.7770000000000004</v>
      </c>
      <c r="BA22" s="92">
        <f t="shared" si="53"/>
        <v>1.7570000000000003</v>
      </c>
      <c r="BB22" s="92">
        <f t="shared" si="53"/>
        <v>2.0270000000000001</v>
      </c>
      <c r="BC22" s="92">
        <f t="shared" si="53"/>
        <v>1.3270000000000004</v>
      </c>
      <c r="BD22" s="92">
        <f t="shared" si="53"/>
        <v>3.4269999999999992</v>
      </c>
      <c r="BE22" s="92">
        <v>1.49</v>
      </c>
      <c r="BF22" s="92">
        <v>1.49</v>
      </c>
      <c r="BG22" s="92">
        <f t="shared" si="54"/>
        <v>1.7570000000000003</v>
      </c>
      <c r="BH22" s="92">
        <f t="shared" si="54"/>
        <v>2.0569999999999999</v>
      </c>
      <c r="BI22" s="92">
        <f t="shared" si="54"/>
        <v>1.9270000000000005</v>
      </c>
      <c r="BJ22" s="92">
        <f t="shared" si="54"/>
        <v>2.0070000000000001</v>
      </c>
      <c r="BK22" s="92">
        <f t="shared" si="54"/>
        <v>1.2070000000000005</v>
      </c>
      <c r="BL22" s="92">
        <f t="shared" si="54"/>
        <v>1.2570000000000003</v>
      </c>
      <c r="BM22" s="92">
        <f t="shared" si="54"/>
        <v>1.7770000000000004</v>
      </c>
      <c r="BN22" s="92">
        <f t="shared" si="54"/>
        <v>2.2569999999999992</v>
      </c>
      <c r="BO22" s="92">
        <f t="shared" si="54"/>
        <v>1.8270000000000006</v>
      </c>
      <c r="BP22" s="92">
        <f t="shared" ref="BP22:BQ22" si="70">BP21+0.0254</f>
        <v>3.7269999999999994</v>
      </c>
      <c r="BQ22" s="92">
        <f t="shared" si="70"/>
        <v>2.8269999999999995</v>
      </c>
      <c r="BR22" s="92">
        <f t="shared" ref="BR22:BS22" si="71">BR21+0.0254</f>
        <v>3.4269999999999992</v>
      </c>
      <c r="BS22" s="92">
        <f t="shared" si="71"/>
        <v>3.2769999999999992</v>
      </c>
      <c r="BT22" s="92">
        <f t="shared" ref="BT22" si="72">BT21+0.0254</f>
        <v>2.8519999999999994</v>
      </c>
    </row>
    <row r="23" spans="1:72" x14ac:dyDescent="0.2">
      <c r="C23" s="42"/>
      <c r="D23" s="42"/>
      <c r="E23" s="42"/>
      <c r="F23" s="43">
        <v>20</v>
      </c>
      <c r="G23" s="12">
        <v>141</v>
      </c>
      <c r="H23" s="42">
        <f t="shared" si="50"/>
        <v>1.8786000000000005</v>
      </c>
      <c r="I23" s="42">
        <f t="shared" si="51"/>
        <v>1.8048000000000006</v>
      </c>
      <c r="J23" s="42">
        <f t="shared" si="51"/>
        <v>1.8556000000000006</v>
      </c>
      <c r="K23" s="42">
        <f t="shared" si="51"/>
        <v>1.8302000000000005</v>
      </c>
      <c r="L23" s="42">
        <f t="shared" si="51"/>
        <v>1.8786000000000005</v>
      </c>
      <c r="M23" s="42">
        <f t="shared" si="51"/>
        <v>2.0159000000000002</v>
      </c>
      <c r="N23" s="42">
        <f t="shared" si="51"/>
        <v>1.8556000000000006</v>
      </c>
      <c r="O23" s="42">
        <f t="shared" si="51"/>
        <v>1.1286000000000005</v>
      </c>
      <c r="P23" s="42">
        <f t="shared" si="51"/>
        <v>2.0793999999999997</v>
      </c>
      <c r="Q23" s="42">
        <f t="shared" si="51"/>
        <v>1.6548000000000003</v>
      </c>
      <c r="R23" s="42">
        <f t="shared" si="51"/>
        <v>1.6548000000000003</v>
      </c>
      <c r="S23" s="42">
        <f t="shared" si="51"/>
        <v>1.9064000000000005</v>
      </c>
      <c r="T23" s="42">
        <f t="shared" si="51"/>
        <v>0.89209999999999989</v>
      </c>
      <c r="U23" s="42">
        <f t="shared" si="51"/>
        <v>1.1056000000000004</v>
      </c>
      <c r="V23" s="42">
        <f t="shared" si="51"/>
        <v>1.4794000000000005</v>
      </c>
      <c r="W23" s="42">
        <f t="shared" si="51"/>
        <v>1.8048000000000006</v>
      </c>
      <c r="X23" s="42">
        <f t="shared" si="51"/>
        <v>1.8913000000000004</v>
      </c>
      <c r="Y23" s="42">
        <f t="shared" si="51"/>
        <v>1.9675000000000005</v>
      </c>
      <c r="Z23" s="42">
        <f t="shared" si="51"/>
        <v>1.8556000000000006</v>
      </c>
      <c r="AA23" s="42">
        <f t="shared" si="51"/>
        <v>1.4056000000000006</v>
      </c>
      <c r="AB23" s="42">
        <f t="shared" si="51"/>
        <v>1.9040000000000004</v>
      </c>
      <c r="AC23" s="42">
        <f t="shared" si="51"/>
        <v>1.9167000000000005</v>
      </c>
      <c r="AD23" s="42">
        <f t="shared" si="51"/>
        <v>1.0802000000000003</v>
      </c>
      <c r="AE23" s="42">
        <f t="shared" si="51"/>
        <v>1.8786000000000005</v>
      </c>
      <c r="AF23" s="42">
        <f t="shared" si="51"/>
        <v>1.5302000000000004</v>
      </c>
      <c r="AG23" s="42">
        <f t="shared" si="51"/>
        <v>1.8810000000000004</v>
      </c>
      <c r="AH23" s="42">
        <f t="shared" si="51"/>
        <v>1.8278000000000005</v>
      </c>
      <c r="AI23" s="42">
        <f t="shared" si="51"/>
        <v>1.8048000000000006</v>
      </c>
      <c r="AJ23" s="42">
        <f t="shared" si="51"/>
        <v>1.1794000000000004</v>
      </c>
      <c r="AK23" s="42">
        <f t="shared" si="51"/>
        <v>1.8556000000000006</v>
      </c>
      <c r="AL23" s="42">
        <f t="shared" si="51"/>
        <v>1.1056000000000004</v>
      </c>
      <c r="AM23" s="42">
        <f t="shared" si="51"/>
        <v>1.8786000000000005</v>
      </c>
      <c r="AN23" s="42">
        <f t="shared" si="51"/>
        <v>1.8556000000000006</v>
      </c>
      <c r="AO23" s="42">
        <f t="shared" si="51"/>
        <v>1.9064000000000005</v>
      </c>
      <c r="AP23" s="42">
        <f t="shared" si="51"/>
        <v>1.5532000000000004</v>
      </c>
      <c r="AQ23" s="42">
        <f t="shared" si="51"/>
        <v>1.9064000000000005</v>
      </c>
      <c r="AR23" s="42">
        <f t="shared" si="51"/>
        <v>1.8786000000000005</v>
      </c>
      <c r="AS23" s="42">
        <f t="shared" si="51"/>
        <v>1.8786000000000005</v>
      </c>
      <c r="AT23" s="92">
        <f>AT22+0.0254</f>
        <v>1.5154000000000001</v>
      </c>
      <c r="AU23" s="92">
        <f t="shared" ref="AU23" si="73">AU22+0.0254</f>
        <v>2.0524</v>
      </c>
      <c r="AV23" s="92">
        <f t="shared" si="53"/>
        <v>2.1323999999999992</v>
      </c>
      <c r="AW23" s="92">
        <f t="shared" si="53"/>
        <v>1.1824000000000006</v>
      </c>
      <c r="AX23" s="92">
        <f t="shared" si="53"/>
        <v>1.9024000000000005</v>
      </c>
      <c r="AY23" s="92">
        <f t="shared" si="53"/>
        <v>1.9824000000000006</v>
      </c>
      <c r="AZ23" s="92">
        <f t="shared" si="53"/>
        <v>1.8024000000000004</v>
      </c>
      <c r="BA23" s="92">
        <f t="shared" si="53"/>
        <v>1.7824000000000004</v>
      </c>
      <c r="BB23" s="92">
        <f t="shared" si="53"/>
        <v>2.0524</v>
      </c>
      <c r="BC23" s="92">
        <f t="shared" si="53"/>
        <v>1.3524000000000005</v>
      </c>
      <c r="BD23" s="92">
        <f t="shared" si="53"/>
        <v>3.452399999999999</v>
      </c>
      <c r="BE23" s="92">
        <f>BE22+0.0254</f>
        <v>1.5154000000000001</v>
      </c>
      <c r="BF23" s="92">
        <f>BF22+0.0254</f>
        <v>1.5154000000000001</v>
      </c>
      <c r="BG23" s="92">
        <f t="shared" si="54"/>
        <v>1.7824000000000004</v>
      </c>
      <c r="BH23" s="92">
        <f t="shared" si="54"/>
        <v>2.0823999999999998</v>
      </c>
      <c r="BI23" s="92">
        <f t="shared" si="54"/>
        <v>1.9524000000000006</v>
      </c>
      <c r="BJ23" s="92">
        <f t="shared" si="54"/>
        <v>2.0324</v>
      </c>
      <c r="BK23" s="92">
        <f t="shared" si="54"/>
        <v>1.2324000000000006</v>
      </c>
      <c r="BL23" s="92">
        <f t="shared" si="54"/>
        <v>1.2824000000000004</v>
      </c>
      <c r="BM23" s="92">
        <f t="shared" si="54"/>
        <v>1.8024000000000004</v>
      </c>
      <c r="BN23" s="92">
        <f t="shared" si="54"/>
        <v>2.2823999999999991</v>
      </c>
      <c r="BO23" s="92">
        <f t="shared" si="54"/>
        <v>1.8524000000000007</v>
      </c>
      <c r="BP23" s="92">
        <f t="shared" ref="BP23:BQ23" si="74">BP22+0.0254</f>
        <v>3.7523999999999993</v>
      </c>
      <c r="BQ23" s="92">
        <f t="shared" si="74"/>
        <v>2.8523999999999994</v>
      </c>
      <c r="BR23" s="92">
        <f t="shared" ref="BR23:BS23" si="75">BR22+0.0254</f>
        <v>3.452399999999999</v>
      </c>
      <c r="BS23" s="92">
        <f t="shared" si="75"/>
        <v>3.3023999999999991</v>
      </c>
      <c r="BT23" s="92">
        <f t="shared" ref="BT23" si="76">BT22+0.0254</f>
        <v>2.8773999999999993</v>
      </c>
    </row>
    <row r="24" spans="1:72" x14ac:dyDescent="0.2">
      <c r="C24" s="42"/>
      <c r="D24" s="42"/>
      <c r="E24" s="42"/>
      <c r="F24" s="43">
        <v>21</v>
      </c>
      <c r="G24" s="12">
        <v>166</v>
      </c>
      <c r="H24" s="42">
        <f>H23+(0.0254*1.1)</f>
        <v>1.9065400000000006</v>
      </c>
      <c r="I24" s="42">
        <f t="shared" ref="I24:AS24" si="77">I23+(0.0254*1.1)</f>
        <v>1.8327400000000007</v>
      </c>
      <c r="J24" s="42">
        <f t="shared" si="77"/>
        <v>1.8835400000000007</v>
      </c>
      <c r="K24" s="42">
        <f t="shared" si="77"/>
        <v>1.8581400000000006</v>
      </c>
      <c r="L24" s="42">
        <f t="shared" si="77"/>
        <v>1.9065400000000006</v>
      </c>
      <c r="M24" s="42">
        <f t="shared" si="77"/>
        <v>2.0438400000000003</v>
      </c>
      <c r="N24" s="42">
        <f t="shared" si="77"/>
        <v>1.8835400000000007</v>
      </c>
      <c r="O24" s="42">
        <f t="shared" si="77"/>
        <v>1.1565400000000006</v>
      </c>
      <c r="P24" s="42">
        <f t="shared" si="77"/>
        <v>2.1073399999999998</v>
      </c>
      <c r="Q24" s="42">
        <f t="shared" si="77"/>
        <v>1.6827400000000003</v>
      </c>
      <c r="R24" s="42">
        <f t="shared" si="77"/>
        <v>1.6827400000000003</v>
      </c>
      <c r="S24" s="42">
        <f t="shared" si="77"/>
        <v>1.9343400000000006</v>
      </c>
      <c r="T24" s="42">
        <f t="shared" si="77"/>
        <v>0.92003999999999986</v>
      </c>
      <c r="U24" s="42">
        <f t="shared" si="77"/>
        <v>1.1335400000000004</v>
      </c>
      <c r="V24" s="42">
        <f t="shared" si="77"/>
        <v>1.5073400000000006</v>
      </c>
      <c r="W24" s="42">
        <f t="shared" si="77"/>
        <v>1.8327400000000007</v>
      </c>
      <c r="X24" s="42">
        <f t="shared" si="77"/>
        <v>1.9192400000000005</v>
      </c>
      <c r="Y24" s="42">
        <f t="shared" si="77"/>
        <v>1.9954400000000005</v>
      </c>
      <c r="Z24" s="42">
        <f t="shared" si="77"/>
        <v>1.8835400000000007</v>
      </c>
      <c r="AA24" s="42">
        <f t="shared" si="77"/>
        <v>1.4335400000000007</v>
      </c>
      <c r="AB24" s="42">
        <f t="shared" si="77"/>
        <v>1.9319400000000004</v>
      </c>
      <c r="AC24" s="42">
        <f t="shared" si="77"/>
        <v>1.9446400000000006</v>
      </c>
      <c r="AD24" s="42">
        <f t="shared" si="77"/>
        <v>1.1081400000000003</v>
      </c>
      <c r="AE24" s="42">
        <f t="shared" si="77"/>
        <v>1.9065400000000006</v>
      </c>
      <c r="AF24" s="42">
        <f t="shared" si="77"/>
        <v>1.5581400000000005</v>
      </c>
      <c r="AG24" s="42">
        <f t="shared" si="77"/>
        <v>1.9089400000000005</v>
      </c>
      <c r="AH24" s="42">
        <f t="shared" si="77"/>
        <v>1.8557400000000006</v>
      </c>
      <c r="AI24" s="42">
        <f t="shared" si="77"/>
        <v>1.8327400000000007</v>
      </c>
      <c r="AJ24" s="42">
        <f t="shared" si="77"/>
        <v>1.2073400000000005</v>
      </c>
      <c r="AK24" s="42">
        <f t="shared" si="77"/>
        <v>1.8835400000000007</v>
      </c>
      <c r="AL24" s="42">
        <f t="shared" si="77"/>
        <v>1.1335400000000004</v>
      </c>
      <c r="AM24" s="42">
        <f t="shared" si="77"/>
        <v>1.9065400000000006</v>
      </c>
      <c r="AN24" s="42">
        <f t="shared" si="77"/>
        <v>1.8835400000000007</v>
      </c>
      <c r="AO24" s="42">
        <f t="shared" si="77"/>
        <v>1.9343400000000006</v>
      </c>
      <c r="AP24" s="42">
        <f t="shared" si="77"/>
        <v>1.5811400000000004</v>
      </c>
      <c r="AQ24" s="42">
        <f t="shared" si="77"/>
        <v>1.9343400000000006</v>
      </c>
      <c r="AR24" s="42">
        <f t="shared" si="77"/>
        <v>1.9065400000000006</v>
      </c>
      <c r="AS24" s="42">
        <f t="shared" si="77"/>
        <v>1.9065400000000006</v>
      </c>
      <c r="AT24" s="92">
        <v>1.52</v>
      </c>
      <c r="AU24" s="92">
        <f t="shared" ref="AU24" si="78">AU23+0.0254</f>
        <v>2.0777999999999999</v>
      </c>
      <c r="AV24" s="92">
        <f t="shared" si="53"/>
        <v>2.1577999999999991</v>
      </c>
      <c r="AW24" s="92">
        <f t="shared" si="53"/>
        <v>1.2078000000000007</v>
      </c>
      <c r="AX24" s="92">
        <f t="shared" si="53"/>
        <v>1.9278000000000006</v>
      </c>
      <c r="AY24" s="92">
        <f t="shared" si="53"/>
        <v>2.0078000000000005</v>
      </c>
      <c r="AZ24" s="92">
        <f t="shared" si="53"/>
        <v>1.8278000000000005</v>
      </c>
      <c r="BA24" s="92">
        <f t="shared" si="53"/>
        <v>1.8078000000000005</v>
      </c>
      <c r="BB24" s="92">
        <f t="shared" si="53"/>
        <v>2.0777999999999999</v>
      </c>
      <c r="BC24" s="92">
        <f t="shared" si="53"/>
        <v>1.3778000000000006</v>
      </c>
      <c r="BD24" s="92">
        <f t="shared" si="53"/>
        <v>3.4777999999999989</v>
      </c>
      <c r="BE24" s="92">
        <v>1.52</v>
      </c>
      <c r="BF24" s="92">
        <v>1.52</v>
      </c>
      <c r="BG24" s="92">
        <f t="shared" si="54"/>
        <v>1.8078000000000005</v>
      </c>
      <c r="BH24" s="92">
        <f t="shared" si="54"/>
        <v>2.1077999999999997</v>
      </c>
      <c r="BI24" s="92">
        <f t="shared" si="54"/>
        <v>1.9778000000000007</v>
      </c>
      <c r="BJ24" s="92">
        <f t="shared" si="54"/>
        <v>2.0577999999999999</v>
      </c>
      <c r="BK24" s="92">
        <f t="shared" si="54"/>
        <v>1.2578000000000007</v>
      </c>
      <c r="BL24" s="92">
        <f t="shared" si="54"/>
        <v>1.3078000000000005</v>
      </c>
      <c r="BM24" s="92">
        <f t="shared" si="54"/>
        <v>1.8278000000000005</v>
      </c>
      <c r="BN24" s="92">
        <f t="shared" si="54"/>
        <v>2.307799999999999</v>
      </c>
      <c r="BO24" s="92">
        <f t="shared" si="54"/>
        <v>1.8778000000000008</v>
      </c>
      <c r="BP24" s="92">
        <f t="shared" ref="BP24:BQ24" si="79">BP23+0.0254</f>
        <v>3.7777999999999992</v>
      </c>
      <c r="BQ24" s="92">
        <f t="shared" si="79"/>
        <v>2.8777999999999992</v>
      </c>
      <c r="BR24" s="92">
        <f t="shared" ref="BR24:BS24" si="80">BR23+0.0254</f>
        <v>3.4777999999999989</v>
      </c>
      <c r="BS24" s="92">
        <f t="shared" si="80"/>
        <v>3.327799999999999</v>
      </c>
      <c r="BT24" s="92">
        <f t="shared" ref="BT24" si="81">BT23+0.0254</f>
        <v>2.9027999999999992</v>
      </c>
    </row>
    <row r="25" spans="1:72" x14ac:dyDescent="0.2">
      <c r="C25" s="42"/>
      <c r="D25" s="42"/>
      <c r="E25" s="42"/>
      <c r="F25" s="43">
        <v>22</v>
      </c>
      <c r="G25" s="12">
        <v>181</v>
      </c>
      <c r="H25" s="42">
        <f>H24+(0.0254*1.2)</f>
        <v>1.9370200000000006</v>
      </c>
      <c r="I25" s="42">
        <f t="shared" ref="I25:AS25" si="82">I24+(0.0254*1.2)</f>
        <v>1.8632200000000008</v>
      </c>
      <c r="J25" s="42">
        <f t="shared" si="82"/>
        <v>1.9140200000000007</v>
      </c>
      <c r="K25" s="42">
        <f t="shared" si="82"/>
        <v>1.8886200000000006</v>
      </c>
      <c r="L25" s="42">
        <f t="shared" si="82"/>
        <v>1.9370200000000006</v>
      </c>
      <c r="M25" s="42">
        <f t="shared" si="82"/>
        <v>2.0743200000000002</v>
      </c>
      <c r="N25" s="42">
        <f t="shared" si="82"/>
        <v>1.9140200000000007</v>
      </c>
      <c r="O25" s="42">
        <f t="shared" si="82"/>
        <v>1.1870200000000006</v>
      </c>
      <c r="P25" s="42">
        <f t="shared" si="82"/>
        <v>2.1378199999999996</v>
      </c>
      <c r="Q25" s="42">
        <f t="shared" si="82"/>
        <v>1.7132200000000004</v>
      </c>
      <c r="R25" s="42">
        <f t="shared" si="82"/>
        <v>1.7132200000000004</v>
      </c>
      <c r="S25" s="42">
        <f t="shared" si="82"/>
        <v>1.9648200000000007</v>
      </c>
      <c r="T25" s="42">
        <f t="shared" si="82"/>
        <v>0.95051999999999981</v>
      </c>
      <c r="U25" s="42">
        <f t="shared" si="82"/>
        <v>1.1640200000000005</v>
      </c>
      <c r="V25" s="42">
        <f t="shared" si="82"/>
        <v>1.5378200000000006</v>
      </c>
      <c r="W25" s="42">
        <f t="shared" si="82"/>
        <v>1.8632200000000008</v>
      </c>
      <c r="X25" s="42">
        <f t="shared" si="82"/>
        <v>1.9497200000000006</v>
      </c>
      <c r="Y25" s="42">
        <f t="shared" si="82"/>
        <v>2.0259200000000006</v>
      </c>
      <c r="Z25" s="42">
        <f t="shared" si="82"/>
        <v>1.9140200000000007</v>
      </c>
      <c r="AA25" s="42">
        <f t="shared" si="82"/>
        <v>1.4640200000000008</v>
      </c>
      <c r="AB25" s="42">
        <f t="shared" si="82"/>
        <v>1.9624200000000005</v>
      </c>
      <c r="AC25" s="42">
        <f t="shared" si="82"/>
        <v>1.9751200000000007</v>
      </c>
      <c r="AD25" s="42">
        <f t="shared" si="82"/>
        <v>1.1386200000000004</v>
      </c>
      <c r="AE25" s="42">
        <f t="shared" si="82"/>
        <v>1.9370200000000006</v>
      </c>
      <c r="AF25" s="42">
        <f t="shared" si="82"/>
        <v>1.5886200000000006</v>
      </c>
      <c r="AG25" s="42">
        <f t="shared" si="82"/>
        <v>1.9394200000000006</v>
      </c>
      <c r="AH25" s="42">
        <f t="shared" si="82"/>
        <v>1.8862200000000007</v>
      </c>
      <c r="AI25" s="42">
        <f t="shared" si="82"/>
        <v>1.8632200000000008</v>
      </c>
      <c r="AJ25" s="42">
        <f t="shared" si="82"/>
        <v>1.2378200000000006</v>
      </c>
      <c r="AK25" s="42">
        <f t="shared" si="82"/>
        <v>1.9140200000000007</v>
      </c>
      <c r="AL25" s="42">
        <f t="shared" si="82"/>
        <v>1.1640200000000005</v>
      </c>
      <c r="AM25" s="42">
        <f t="shared" si="82"/>
        <v>1.9370200000000006</v>
      </c>
      <c r="AN25" s="42">
        <f t="shared" si="82"/>
        <v>1.9140200000000007</v>
      </c>
      <c r="AO25" s="42">
        <f t="shared" si="82"/>
        <v>1.9648200000000007</v>
      </c>
      <c r="AP25" s="42">
        <f t="shared" si="82"/>
        <v>1.6116200000000005</v>
      </c>
      <c r="AQ25" s="42">
        <f t="shared" si="82"/>
        <v>1.9648200000000007</v>
      </c>
      <c r="AR25" s="42">
        <f t="shared" si="82"/>
        <v>1.9370200000000006</v>
      </c>
      <c r="AS25" s="42">
        <f t="shared" si="82"/>
        <v>1.9370200000000006</v>
      </c>
      <c r="AT25" s="92">
        <f>AT24+0.0254</f>
        <v>1.5454000000000001</v>
      </c>
      <c r="AU25" s="92">
        <f t="shared" ref="AU25" si="83">AU24+0.0254</f>
        <v>2.1031999999999997</v>
      </c>
      <c r="AV25" s="92">
        <f t="shared" si="53"/>
        <v>2.1831999999999989</v>
      </c>
      <c r="AW25" s="92">
        <f t="shared" si="53"/>
        <v>1.2332000000000007</v>
      </c>
      <c r="AX25" s="92">
        <f t="shared" si="53"/>
        <v>1.9532000000000007</v>
      </c>
      <c r="AY25" s="92">
        <f t="shared" si="53"/>
        <v>2.0332000000000003</v>
      </c>
      <c r="AZ25" s="92">
        <f t="shared" si="53"/>
        <v>1.8532000000000006</v>
      </c>
      <c r="BA25" s="92">
        <f t="shared" si="53"/>
        <v>1.8332000000000006</v>
      </c>
      <c r="BB25" s="92">
        <f t="shared" si="53"/>
        <v>2.1031999999999997</v>
      </c>
      <c r="BC25" s="92">
        <f t="shared" si="53"/>
        <v>1.4032000000000007</v>
      </c>
      <c r="BD25" s="92">
        <f t="shared" si="53"/>
        <v>3.5031999999999988</v>
      </c>
      <c r="BE25" s="92">
        <f>BE24+0.0254</f>
        <v>1.5454000000000001</v>
      </c>
      <c r="BF25" s="92">
        <f>BF24+0.0254</f>
        <v>1.5454000000000001</v>
      </c>
      <c r="BG25" s="92">
        <f t="shared" si="54"/>
        <v>1.8332000000000006</v>
      </c>
      <c r="BH25" s="92">
        <f t="shared" si="54"/>
        <v>2.1331999999999995</v>
      </c>
      <c r="BI25" s="92">
        <f t="shared" si="54"/>
        <v>2.0032000000000005</v>
      </c>
      <c r="BJ25" s="92">
        <f t="shared" si="54"/>
        <v>2.0831999999999997</v>
      </c>
      <c r="BK25" s="92">
        <f t="shared" si="54"/>
        <v>1.2832000000000008</v>
      </c>
      <c r="BL25" s="92">
        <f t="shared" si="54"/>
        <v>1.3332000000000006</v>
      </c>
      <c r="BM25" s="92">
        <f t="shared" si="54"/>
        <v>1.8532000000000006</v>
      </c>
      <c r="BN25" s="92">
        <f t="shared" si="54"/>
        <v>2.3331999999999988</v>
      </c>
      <c r="BO25" s="92">
        <f t="shared" si="54"/>
        <v>1.9032000000000009</v>
      </c>
      <c r="BP25" s="92">
        <f t="shared" ref="BP25:BQ25" si="84">BP24+0.0254</f>
        <v>3.803199999999999</v>
      </c>
      <c r="BQ25" s="92">
        <f t="shared" si="84"/>
        <v>2.9031999999999991</v>
      </c>
      <c r="BR25" s="92">
        <f t="shared" ref="BR25:BS25" si="85">BR24+0.0254</f>
        <v>3.5031999999999988</v>
      </c>
      <c r="BS25" s="92">
        <f t="shared" si="85"/>
        <v>3.3531999999999988</v>
      </c>
      <c r="BT25" s="92">
        <f t="shared" ref="BT25" si="86">BT24+0.0254</f>
        <v>2.928199999999999</v>
      </c>
    </row>
    <row r="26" spans="1:72" x14ac:dyDescent="0.2">
      <c r="A26" s="12" t="s">
        <v>3494</v>
      </c>
      <c r="B26" s="12">
        <v>6</v>
      </c>
      <c r="C26" s="42"/>
      <c r="D26" s="42"/>
      <c r="E26" s="42"/>
      <c r="F26" s="43">
        <v>23</v>
      </c>
      <c r="G26" s="12">
        <v>191</v>
      </c>
      <c r="H26" s="42">
        <f>H25+(0.0254*1.3)</f>
        <v>1.9700400000000007</v>
      </c>
      <c r="I26" s="42">
        <f t="shared" ref="I26:AS26" si="87">I25+(0.0254*1.3)</f>
        <v>1.8962400000000008</v>
      </c>
      <c r="J26" s="42">
        <f t="shared" si="87"/>
        <v>1.9470400000000008</v>
      </c>
      <c r="K26" s="42">
        <f t="shared" si="87"/>
        <v>1.9216400000000007</v>
      </c>
      <c r="L26" s="42">
        <f t="shared" si="87"/>
        <v>1.9700400000000007</v>
      </c>
      <c r="M26" s="42">
        <f t="shared" si="87"/>
        <v>2.1073400000000002</v>
      </c>
      <c r="N26" s="42">
        <f t="shared" si="87"/>
        <v>1.9470400000000008</v>
      </c>
      <c r="O26" s="42">
        <f t="shared" si="87"/>
        <v>1.2200400000000007</v>
      </c>
      <c r="P26" s="42">
        <f t="shared" si="87"/>
        <v>2.1708399999999997</v>
      </c>
      <c r="Q26" s="42">
        <f t="shared" si="87"/>
        <v>1.7462400000000005</v>
      </c>
      <c r="R26" s="42">
        <f t="shared" si="87"/>
        <v>1.7462400000000005</v>
      </c>
      <c r="S26" s="42">
        <f t="shared" si="87"/>
        <v>1.9978400000000007</v>
      </c>
      <c r="T26" s="42">
        <f t="shared" si="87"/>
        <v>0.98353999999999986</v>
      </c>
      <c r="U26" s="42">
        <f t="shared" si="87"/>
        <v>1.1970400000000005</v>
      </c>
      <c r="V26" s="42">
        <f t="shared" si="87"/>
        <v>1.5708400000000007</v>
      </c>
      <c r="W26" s="42">
        <f t="shared" si="87"/>
        <v>1.8962400000000008</v>
      </c>
      <c r="X26" s="42">
        <f t="shared" si="87"/>
        <v>1.9827400000000006</v>
      </c>
      <c r="Y26" s="42">
        <f t="shared" si="87"/>
        <v>2.0589400000000007</v>
      </c>
      <c r="Z26" s="42">
        <f t="shared" si="87"/>
        <v>1.9470400000000008</v>
      </c>
      <c r="AA26" s="42">
        <f t="shared" si="87"/>
        <v>1.4970400000000008</v>
      </c>
      <c r="AB26" s="42">
        <f t="shared" si="87"/>
        <v>1.9954400000000005</v>
      </c>
      <c r="AC26" s="42">
        <f t="shared" si="87"/>
        <v>2.0081400000000005</v>
      </c>
      <c r="AD26" s="42">
        <f t="shared" si="87"/>
        <v>1.1716400000000005</v>
      </c>
      <c r="AE26" s="42">
        <f t="shared" si="87"/>
        <v>1.9700400000000007</v>
      </c>
      <c r="AF26" s="42">
        <f t="shared" si="87"/>
        <v>1.6216400000000006</v>
      </c>
      <c r="AG26" s="42">
        <f t="shared" si="87"/>
        <v>1.9724400000000006</v>
      </c>
      <c r="AH26" s="42">
        <f t="shared" si="87"/>
        <v>1.9192400000000007</v>
      </c>
      <c r="AI26" s="42">
        <f t="shared" si="87"/>
        <v>1.8962400000000008</v>
      </c>
      <c r="AJ26" s="42">
        <f t="shared" si="87"/>
        <v>1.2708400000000006</v>
      </c>
      <c r="AK26" s="42">
        <f t="shared" si="87"/>
        <v>1.9470400000000008</v>
      </c>
      <c r="AL26" s="42">
        <f t="shared" si="87"/>
        <v>1.1970400000000005</v>
      </c>
      <c r="AM26" s="42">
        <f t="shared" si="87"/>
        <v>1.9700400000000007</v>
      </c>
      <c r="AN26" s="42">
        <f t="shared" si="87"/>
        <v>1.9470400000000008</v>
      </c>
      <c r="AO26" s="42">
        <f t="shared" si="87"/>
        <v>1.9978400000000007</v>
      </c>
      <c r="AP26" s="42">
        <f t="shared" si="87"/>
        <v>1.6446400000000005</v>
      </c>
      <c r="AQ26" s="42">
        <f t="shared" si="87"/>
        <v>1.9978400000000007</v>
      </c>
      <c r="AR26" s="42">
        <f t="shared" si="87"/>
        <v>1.9700400000000007</v>
      </c>
      <c r="AS26" s="42">
        <f t="shared" si="87"/>
        <v>1.9700400000000007</v>
      </c>
      <c r="AT26" s="92">
        <v>1.55</v>
      </c>
      <c r="AU26" s="92">
        <f t="shared" ref="AU26" si="88">AU25+0.0254</f>
        <v>2.1285999999999996</v>
      </c>
      <c r="AV26" s="92">
        <f t="shared" si="53"/>
        <v>2.2085999999999988</v>
      </c>
      <c r="AW26" s="92">
        <f t="shared" si="53"/>
        <v>1.2586000000000008</v>
      </c>
      <c r="AX26" s="92">
        <f t="shared" si="53"/>
        <v>1.9786000000000008</v>
      </c>
      <c r="AY26" s="92">
        <f t="shared" si="53"/>
        <v>2.0586000000000002</v>
      </c>
      <c r="AZ26" s="92">
        <f t="shared" si="53"/>
        <v>1.8786000000000007</v>
      </c>
      <c r="BA26" s="92">
        <f t="shared" si="53"/>
        <v>1.8586000000000007</v>
      </c>
      <c r="BB26" s="92">
        <f t="shared" si="53"/>
        <v>2.1285999999999996</v>
      </c>
      <c r="BC26" s="92">
        <f t="shared" si="53"/>
        <v>1.4286000000000008</v>
      </c>
      <c r="BD26" s="92">
        <f t="shared" si="53"/>
        <v>3.5285999999999986</v>
      </c>
      <c r="BE26" s="92">
        <v>1.55</v>
      </c>
      <c r="BF26" s="92">
        <v>1.55</v>
      </c>
      <c r="BG26" s="92">
        <f t="shared" si="54"/>
        <v>1.8586000000000007</v>
      </c>
      <c r="BH26" s="92">
        <f t="shared" si="54"/>
        <v>2.1585999999999994</v>
      </c>
      <c r="BI26" s="92">
        <f t="shared" si="54"/>
        <v>2.0286000000000004</v>
      </c>
      <c r="BJ26" s="92">
        <f t="shared" si="54"/>
        <v>2.1085999999999996</v>
      </c>
      <c r="BK26" s="92">
        <f t="shared" si="54"/>
        <v>1.3086000000000009</v>
      </c>
      <c r="BL26" s="92">
        <f t="shared" si="54"/>
        <v>1.3586000000000007</v>
      </c>
      <c r="BM26" s="92">
        <f t="shared" si="54"/>
        <v>1.8786000000000007</v>
      </c>
      <c r="BN26" s="92">
        <f t="shared" si="54"/>
        <v>2.3585999999999987</v>
      </c>
      <c r="BO26" s="92">
        <f t="shared" si="54"/>
        <v>1.928600000000001</v>
      </c>
      <c r="BP26" s="92">
        <f t="shared" ref="BP26:BQ26" si="89">BP25+0.0254</f>
        <v>3.8285999999999989</v>
      </c>
      <c r="BQ26" s="92">
        <f t="shared" si="89"/>
        <v>2.928599999999999</v>
      </c>
      <c r="BR26" s="92">
        <f t="shared" ref="BR26:BS26" si="90">BR25+0.0254</f>
        <v>3.5285999999999986</v>
      </c>
      <c r="BS26" s="92">
        <f t="shared" si="90"/>
        <v>3.3785999999999987</v>
      </c>
      <c r="BT26" s="92">
        <f t="shared" ref="BT26" si="91">BT25+0.0254</f>
        <v>2.9535999999999989</v>
      </c>
    </row>
    <row r="27" spans="1:72" x14ac:dyDescent="0.2">
      <c r="A27" s="12" t="s">
        <v>3495</v>
      </c>
      <c r="B27" s="12">
        <v>0</v>
      </c>
      <c r="C27" s="42"/>
      <c r="D27" s="42"/>
      <c r="E27" s="42"/>
      <c r="F27" s="43">
        <v>24</v>
      </c>
      <c r="G27" s="12">
        <v>221</v>
      </c>
      <c r="H27" s="42">
        <f>H26+(0.0254*1.4)</f>
        <v>2.0056000000000007</v>
      </c>
      <c r="I27" s="42">
        <f t="shared" ref="I27:AS27" si="92">I26+(0.0254*1.4)</f>
        <v>1.9318000000000008</v>
      </c>
      <c r="J27" s="42">
        <f t="shared" si="92"/>
        <v>1.9826000000000008</v>
      </c>
      <c r="K27" s="42">
        <f t="shared" si="92"/>
        <v>1.9572000000000007</v>
      </c>
      <c r="L27" s="42">
        <f t="shared" si="92"/>
        <v>2.0056000000000007</v>
      </c>
      <c r="M27" s="42">
        <f t="shared" si="92"/>
        <v>2.1429</v>
      </c>
      <c r="N27" s="42">
        <f t="shared" si="92"/>
        <v>1.9826000000000008</v>
      </c>
      <c r="O27" s="42">
        <f t="shared" si="92"/>
        <v>1.2556000000000007</v>
      </c>
      <c r="P27" s="42">
        <f t="shared" si="92"/>
        <v>2.2063999999999995</v>
      </c>
      <c r="Q27" s="42">
        <f t="shared" si="92"/>
        <v>1.7818000000000005</v>
      </c>
      <c r="R27" s="42">
        <f t="shared" si="92"/>
        <v>1.7818000000000005</v>
      </c>
      <c r="S27" s="42">
        <f t="shared" si="92"/>
        <v>2.0334000000000008</v>
      </c>
      <c r="T27" s="42">
        <f t="shared" si="92"/>
        <v>1.0190999999999999</v>
      </c>
      <c r="U27" s="42">
        <f t="shared" si="92"/>
        <v>1.2326000000000006</v>
      </c>
      <c r="V27" s="42">
        <f t="shared" si="92"/>
        <v>1.6064000000000007</v>
      </c>
      <c r="W27" s="42">
        <f t="shared" si="92"/>
        <v>1.9318000000000008</v>
      </c>
      <c r="X27" s="42">
        <f t="shared" si="92"/>
        <v>2.0183000000000004</v>
      </c>
      <c r="Y27" s="42">
        <f t="shared" si="92"/>
        <v>2.0945000000000005</v>
      </c>
      <c r="Z27" s="42">
        <f t="shared" si="92"/>
        <v>1.9826000000000008</v>
      </c>
      <c r="AA27" s="42">
        <f t="shared" si="92"/>
        <v>1.5326000000000009</v>
      </c>
      <c r="AB27" s="42">
        <f t="shared" si="92"/>
        <v>2.0310000000000006</v>
      </c>
      <c r="AC27" s="42">
        <f t="shared" si="92"/>
        <v>2.0437000000000003</v>
      </c>
      <c r="AD27" s="42">
        <f t="shared" si="92"/>
        <v>1.2072000000000005</v>
      </c>
      <c r="AE27" s="42">
        <f t="shared" si="92"/>
        <v>2.0056000000000007</v>
      </c>
      <c r="AF27" s="42">
        <f t="shared" si="92"/>
        <v>1.6572000000000007</v>
      </c>
      <c r="AG27" s="42">
        <f t="shared" si="92"/>
        <v>2.0080000000000005</v>
      </c>
      <c r="AH27" s="42">
        <f t="shared" si="92"/>
        <v>1.9548000000000008</v>
      </c>
      <c r="AI27" s="42">
        <f t="shared" si="92"/>
        <v>1.9318000000000008</v>
      </c>
      <c r="AJ27" s="42">
        <f t="shared" si="92"/>
        <v>1.3064000000000007</v>
      </c>
      <c r="AK27" s="42">
        <f t="shared" si="92"/>
        <v>1.9826000000000008</v>
      </c>
      <c r="AL27" s="42">
        <f t="shared" si="92"/>
        <v>1.2326000000000006</v>
      </c>
      <c r="AM27" s="42">
        <f t="shared" si="92"/>
        <v>2.0056000000000007</v>
      </c>
      <c r="AN27" s="42">
        <f t="shared" si="92"/>
        <v>1.9826000000000008</v>
      </c>
      <c r="AO27" s="42">
        <f t="shared" si="92"/>
        <v>2.0334000000000008</v>
      </c>
      <c r="AP27" s="42">
        <f t="shared" si="92"/>
        <v>1.6802000000000006</v>
      </c>
      <c r="AQ27" s="42">
        <f t="shared" si="92"/>
        <v>2.0334000000000008</v>
      </c>
      <c r="AR27" s="42">
        <f t="shared" si="92"/>
        <v>2.0056000000000007</v>
      </c>
      <c r="AS27" s="42">
        <f t="shared" si="92"/>
        <v>2.0056000000000007</v>
      </c>
      <c r="AT27" s="92">
        <f>AT26+0.0254</f>
        <v>1.5754000000000001</v>
      </c>
      <c r="AU27" s="92">
        <f t="shared" ref="AU27" si="93">AU26+0.0254</f>
        <v>2.1539999999999995</v>
      </c>
      <c r="AV27" s="92">
        <f t="shared" si="53"/>
        <v>2.2339999999999987</v>
      </c>
      <c r="AW27" s="92">
        <f t="shared" si="53"/>
        <v>1.2840000000000009</v>
      </c>
      <c r="AX27" s="92">
        <f t="shared" si="53"/>
        <v>2.0040000000000009</v>
      </c>
      <c r="AY27" s="92">
        <f t="shared" si="53"/>
        <v>2.0840000000000001</v>
      </c>
      <c r="AZ27" s="92">
        <f t="shared" si="53"/>
        <v>1.9040000000000008</v>
      </c>
      <c r="BA27" s="92">
        <f t="shared" si="53"/>
        <v>1.8840000000000008</v>
      </c>
      <c r="BB27" s="92">
        <f t="shared" si="53"/>
        <v>2.1539999999999995</v>
      </c>
      <c r="BC27" s="92">
        <f t="shared" si="53"/>
        <v>1.4540000000000008</v>
      </c>
      <c r="BD27" s="92">
        <f t="shared" si="53"/>
        <v>3.5539999999999985</v>
      </c>
      <c r="BE27" s="92">
        <f>BE26+0.0254</f>
        <v>1.5754000000000001</v>
      </c>
      <c r="BF27" s="92">
        <f>BF26+0.0254</f>
        <v>1.5754000000000001</v>
      </c>
      <c r="BG27" s="92">
        <f t="shared" si="54"/>
        <v>1.8840000000000008</v>
      </c>
      <c r="BH27" s="92">
        <f t="shared" si="54"/>
        <v>2.1839999999999993</v>
      </c>
      <c r="BI27" s="92">
        <f t="shared" si="54"/>
        <v>2.0540000000000003</v>
      </c>
      <c r="BJ27" s="92">
        <f t="shared" si="54"/>
        <v>2.1339999999999995</v>
      </c>
      <c r="BK27" s="92">
        <f t="shared" si="54"/>
        <v>1.334000000000001</v>
      </c>
      <c r="BL27" s="92">
        <f t="shared" si="54"/>
        <v>1.3840000000000008</v>
      </c>
      <c r="BM27" s="92">
        <f t="shared" si="54"/>
        <v>1.9040000000000008</v>
      </c>
      <c r="BN27" s="92">
        <f t="shared" si="54"/>
        <v>2.3839999999999986</v>
      </c>
      <c r="BO27" s="92">
        <f t="shared" si="54"/>
        <v>1.9540000000000011</v>
      </c>
      <c r="BP27" s="92">
        <f t="shared" ref="BP27:BQ27" si="94">BP26+0.0254</f>
        <v>3.8539999999999988</v>
      </c>
      <c r="BQ27" s="92">
        <f t="shared" si="94"/>
        <v>2.9539999999999988</v>
      </c>
      <c r="BR27" s="92">
        <f t="shared" ref="BR27:BS27" si="95">BR26+0.0254</f>
        <v>3.5539999999999985</v>
      </c>
      <c r="BS27" s="92">
        <f t="shared" si="95"/>
        <v>3.4039999999999986</v>
      </c>
      <c r="BT27" s="92">
        <f t="shared" ref="BT27" si="96">BT26+0.0254</f>
        <v>2.9789999999999988</v>
      </c>
    </row>
    <row r="28" spans="1:72" x14ac:dyDescent="0.2">
      <c r="A28" s="12" t="s">
        <v>179</v>
      </c>
      <c r="B28" s="42">
        <f>B26*0.3+B27*0.0254</f>
        <v>1.7999999999999998</v>
      </c>
      <c r="C28" s="42"/>
      <c r="D28" s="42"/>
      <c r="E28" s="42"/>
      <c r="F28" s="43">
        <v>25</v>
      </c>
      <c r="G28" s="12">
        <v>261</v>
      </c>
      <c r="H28" s="42">
        <f>H27+(0.0254*1.5)</f>
        <v>2.0437000000000007</v>
      </c>
      <c r="I28" s="42">
        <f t="shared" ref="I28:AS28" si="97">I27+(0.0254*1.5)</f>
        <v>1.9699000000000009</v>
      </c>
      <c r="J28" s="42">
        <f t="shared" si="97"/>
        <v>2.0207000000000006</v>
      </c>
      <c r="K28" s="42">
        <f t="shared" si="97"/>
        <v>1.9953000000000007</v>
      </c>
      <c r="L28" s="42">
        <f t="shared" si="97"/>
        <v>2.0437000000000007</v>
      </c>
      <c r="M28" s="42">
        <f t="shared" si="97"/>
        <v>2.181</v>
      </c>
      <c r="N28" s="42">
        <f t="shared" si="97"/>
        <v>2.0207000000000006</v>
      </c>
      <c r="O28" s="42">
        <f t="shared" si="97"/>
        <v>1.2937000000000007</v>
      </c>
      <c r="P28" s="42">
        <f t="shared" si="97"/>
        <v>2.2444999999999995</v>
      </c>
      <c r="Q28" s="42">
        <f t="shared" si="97"/>
        <v>1.8199000000000005</v>
      </c>
      <c r="R28" s="42">
        <f t="shared" si="97"/>
        <v>1.8199000000000005</v>
      </c>
      <c r="S28" s="42">
        <f t="shared" si="97"/>
        <v>2.0715000000000008</v>
      </c>
      <c r="T28" s="42">
        <f t="shared" si="97"/>
        <v>1.0571999999999999</v>
      </c>
      <c r="U28" s="42">
        <f t="shared" si="97"/>
        <v>1.2707000000000006</v>
      </c>
      <c r="V28" s="42">
        <f t="shared" si="97"/>
        <v>1.6445000000000007</v>
      </c>
      <c r="W28" s="42">
        <f t="shared" si="97"/>
        <v>1.9699000000000009</v>
      </c>
      <c r="X28" s="42">
        <f t="shared" si="97"/>
        <v>2.0564000000000004</v>
      </c>
      <c r="Y28" s="42">
        <f t="shared" si="97"/>
        <v>2.1326000000000005</v>
      </c>
      <c r="Z28" s="42">
        <f t="shared" si="97"/>
        <v>2.0207000000000006</v>
      </c>
      <c r="AA28" s="42">
        <f t="shared" si="97"/>
        <v>1.5707000000000009</v>
      </c>
      <c r="AB28" s="42">
        <f t="shared" si="97"/>
        <v>2.0691000000000006</v>
      </c>
      <c r="AC28" s="42">
        <f t="shared" si="97"/>
        <v>2.0818000000000003</v>
      </c>
      <c r="AD28" s="42">
        <f t="shared" si="97"/>
        <v>1.2453000000000005</v>
      </c>
      <c r="AE28" s="42">
        <f t="shared" si="97"/>
        <v>2.0437000000000007</v>
      </c>
      <c r="AF28" s="42">
        <f t="shared" si="97"/>
        <v>1.6953000000000007</v>
      </c>
      <c r="AG28" s="42">
        <f t="shared" si="97"/>
        <v>2.0461000000000005</v>
      </c>
      <c r="AH28" s="42">
        <f t="shared" si="97"/>
        <v>1.9929000000000008</v>
      </c>
      <c r="AI28" s="42">
        <f t="shared" si="97"/>
        <v>1.9699000000000009</v>
      </c>
      <c r="AJ28" s="42">
        <f t="shared" si="97"/>
        <v>1.3445000000000007</v>
      </c>
      <c r="AK28" s="42">
        <f t="shared" si="97"/>
        <v>2.0207000000000006</v>
      </c>
      <c r="AL28" s="42">
        <f t="shared" si="97"/>
        <v>1.2707000000000006</v>
      </c>
      <c r="AM28" s="42">
        <f t="shared" si="97"/>
        <v>2.0437000000000007</v>
      </c>
      <c r="AN28" s="42">
        <f t="shared" si="97"/>
        <v>2.0207000000000006</v>
      </c>
      <c r="AO28" s="42">
        <f t="shared" si="97"/>
        <v>2.0715000000000008</v>
      </c>
      <c r="AP28" s="42">
        <f t="shared" si="97"/>
        <v>1.7183000000000006</v>
      </c>
      <c r="AQ28" s="42">
        <f t="shared" si="97"/>
        <v>2.0715000000000008</v>
      </c>
      <c r="AR28" s="42">
        <f t="shared" si="97"/>
        <v>2.0437000000000007</v>
      </c>
      <c r="AS28" s="42">
        <f t="shared" si="97"/>
        <v>2.0437000000000007</v>
      </c>
      <c r="AT28" s="92">
        <v>1.58</v>
      </c>
      <c r="AU28" s="92">
        <f t="shared" ref="AU28" si="98">AU27+0.0254</f>
        <v>2.1793999999999993</v>
      </c>
      <c r="AV28" s="92">
        <f t="shared" si="53"/>
        <v>2.2593999999999985</v>
      </c>
      <c r="AW28" s="92">
        <f t="shared" si="53"/>
        <v>1.309400000000001</v>
      </c>
      <c r="AX28" s="92">
        <f t="shared" si="53"/>
        <v>2.0294000000000008</v>
      </c>
      <c r="AY28" s="92">
        <f t="shared" si="53"/>
        <v>2.1093999999999999</v>
      </c>
      <c r="AZ28" s="92">
        <f t="shared" si="53"/>
        <v>1.9294000000000009</v>
      </c>
      <c r="BA28" s="92">
        <f t="shared" si="53"/>
        <v>1.9094000000000009</v>
      </c>
      <c r="BB28" s="92">
        <f t="shared" si="53"/>
        <v>2.1793999999999993</v>
      </c>
      <c r="BC28" s="92">
        <f t="shared" si="53"/>
        <v>1.4794000000000009</v>
      </c>
      <c r="BD28" s="92">
        <f t="shared" si="53"/>
        <v>3.5793999999999984</v>
      </c>
      <c r="BE28" s="92">
        <v>1.58</v>
      </c>
      <c r="BF28" s="92">
        <v>1.58</v>
      </c>
      <c r="BG28" s="92">
        <f t="shared" si="54"/>
        <v>1.9094000000000009</v>
      </c>
      <c r="BH28" s="92">
        <f t="shared" si="54"/>
        <v>2.2093999999999991</v>
      </c>
      <c r="BI28" s="92">
        <f t="shared" si="54"/>
        <v>2.0794000000000001</v>
      </c>
      <c r="BJ28" s="92">
        <f t="shared" si="54"/>
        <v>2.1593999999999993</v>
      </c>
      <c r="BK28" s="92">
        <f t="shared" si="54"/>
        <v>1.3594000000000011</v>
      </c>
      <c r="BL28" s="92">
        <f t="shared" si="54"/>
        <v>1.4094000000000009</v>
      </c>
      <c r="BM28" s="92">
        <f t="shared" si="54"/>
        <v>1.9294000000000009</v>
      </c>
      <c r="BN28" s="92">
        <f t="shared" si="54"/>
        <v>2.4093999999999984</v>
      </c>
      <c r="BO28" s="92">
        <f t="shared" si="54"/>
        <v>1.9794000000000012</v>
      </c>
      <c r="BP28" s="92">
        <f t="shared" ref="BP28:BQ28" si="99">BP27+0.0254</f>
        <v>3.8793999999999986</v>
      </c>
      <c r="BQ28" s="92">
        <f t="shared" si="99"/>
        <v>2.9793999999999987</v>
      </c>
      <c r="BR28" s="92">
        <f t="shared" ref="BR28:BS28" si="100">BR27+0.0254</f>
        <v>3.5793999999999984</v>
      </c>
      <c r="BS28" s="92">
        <f t="shared" si="100"/>
        <v>3.4293999999999984</v>
      </c>
      <c r="BT28" s="92">
        <f t="shared" ref="BT28" si="101">BT27+0.0254</f>
        <v>3.0043999999999986</v>
      </c>
    </row>
    <row r="29" spans="1:72" x14ac:dyDescent="0.2">
      <c r="A29" s="12" t="s">
        <v>3496</v>
      </c>
      <c r="B29" s="12">
        <v>130</v>
      </c>
      <c r="C29" s="42">
        <v>45</v>
      </c>
      <c r="D29" s="42"/>
      <c r="E29" s="42"/>
      <c r="F29" s="43">
        <v>26</v>
      </c>
      <c r="G29" s="12">
        <v>281</v>
      </c>
      <c r="H29" s="42">
        <f>H28+(0.0254*1.6)</f>
        <v>2.0843400000000005</v>
      </c>
      <c r="I29" s="42">
        <f t="shared" ref="I29:AS29" si="102">I28+(0.0254*1.6)</f>
        <v>2.0105400000000007</v>
      </c>
      <c r="J29" s="42">
        <f t="shared" si="102"/>
        <v>2.0613400000000004</v>
      </c>
      <c r="K29" s="42">
        <f t="shared" si="102"/>
        <v>2.0359400000000005</v>
      </c>
      <c r="L29" s="42">
        <f t="shared" si="102"/>
        <v>2.0843400000000005</v>
      </c>
      <c r="M29" s="42">
        <f t="shared" si="102"/>
        <v>2.2216399999999998</v>
      </c>
      <c r="N29" s="42">
        <f t="shared" si="102"/>
        <v>2.0613400000000004</v>
      </c>
      <c r="O29" s="42">
        <f t="shared" si="102"/>
        <v>1.3343400000000007</v>
      </c>
      <c r="P29" s="42">
        <f t="shared" si="102"/>
        <v>2.2851399999999993</v>
      </c>
      <c r="Q29" s="42">
        <f t="shared" si="102"/>
        <v>1.8605400000000005</v>
      </c>
      <c r="R29" s="42">
        <f t="shared" si="102"/>
        <v>1.8605400000000005</v>
      </c>
      <c r="S29" s="42">
        <f t="shared" si="102"/>
        <v>2.1121400000000006</v>
      </c>
      <c r="T29" s="42">
        <f t="shared" si="102"/>
        <v>1.0978399999999999</v>
      </c>
      <c r="U29" s="42">
        <f t="shared" si="102"/>
        <v>1.3113400000000006</v>
      </c>
      <c r="V29" s="42">
        <f t="shared" si="102"/>
        <v>1.6851400000000007</v>
      </c>
      <c r="W29" s="42">
        <f t="shared" si="102"/>
        <v>2.0105400000000007</v>
      </c>
      <c r="X29" s="42">
        <f t="shared" si="102"/>
        <v>2.0970400000000002</v>
      </c>
      <c r="Y29" s="42">
        <f t="shared" si="102"/>
        <v>2.1732400000000003</v>
      </c>
      <c r="Z29" s="42">
        <f t="shared" si="102"/>
        <v>2.0613400000000004</v>
      </c>
      <c r="AA29" s="42">
        <f t="shared" si="102"/>
        <v>1.6113400000000009</v>
      </c>
      <c r="AB29" s="42">
        <f t="shared" si="102"/>
        <v>2.1097400000000004</v>
      </c>
      <c r="AC29" s="42">
        <f t="shared" si="102"/>
        <v>2.1224400000000001</v>
      </c>
      <c r="AD29" s="42">
        <f t="shared" si="102"/>
        <v>1.2859400000000005</v>
      </c>
      <c r="AE29" s="42">
        <f t="shared" si="102"/>
        <v>2.0843400000000005</v>
      </c>
      <c r="AF29" s="42">
        <f t="shared" si="102"/>
        <v>1.7359400000000007</v>
      </c>
      <c r="AG29" s="42">
        <f t="shared" si="102"/>
        <v>2.0867400000000003</v>
      </c>
      <c r="AH29" s="42">
        <f t="shared" si="102"/>
        <v>2.0335400000000008</v>
      </c>
      <c r="AI29" s="42">
        <f t="shared" si="102"/>
        <v>2.0105400000000007</v>
      </c>
      <c r="AJ29" s="42">
        <f t="shared" si="102"/>
        <v>1.3851400000000007</v>
      </c>
      <c r="AK29" s="42">
        <f t="shared" si="102"/>
        <v>2.0613400000000004</v>
      </c>
      <c r="AL29" s="42">
        <f t="shared" si="102"/>
        <v>1.3113400000000006</v>
      </c>
      <c r="AM29" s="42">
        <f t="shared" si="102"/>
        <v>2.0843400000000005</v>
      </c>
      <c r="AN29" s="42">
        <f t="shared" si="102"/>
        <v>2.0613400000000004</v>
      </c>
      <c r="AO29" s="42">
        <f t="shared" si="102"/>
        <v>2.1121400000000006</v>
      </c>
      <c r="AP29" s="42">
        <f t="shared" si="102"/>
        <v>1.7589400000000006</v>
      </c>
      <c r="AQ29" s="42">
        <f t="shared" si="102"/>
        <v>2.1121400000000006</v>
      </c>
      <c r="AR29" s="42">
        <f t="shared" si="102"/>
        <v>2.0843400000000005</v>
      </c>
      <c r="AS29" s="42">
        <f t="shared" si="102"/>
        <v>2.0843400000000005</v>
      </c>
      <c r="AT29" s="92">
        <f>AT28+0.0254</f>
        <v>1.6054000000000002</v>
      </c>
      <c r="AU29" s="92">
        <f t="shared" ref="AU29" si="103">AU28+0.0254</f>
        <v>2.2047999999999992</v>
      </c>
      <c r="AV29" s="92">
        <f t="shared" si="53"/>
        <v>2.2847999999999984</v>
      </c>
      <c r="AW29" s="92">
        <f t="shared" si="53"/>
        <v>1.3348000000000011</v>
      </c>
      <c r="AX29" s="92">
        <f t="shared" si="53"/>
        <v>2.0548000000000006</v>
      </c>
      <c r="AY29" s="92">
        <f t="shared" si="53"/>
        <v>2.1347999999999998</v>
      </c>
      <c r="AZ29" s="92">
        <f t="shared" si="53"/>
        <v>1.954800000000001</v>
      </c>
      <c r="BA29" s="92">
        <f t="shared" si="53"/>
        <v>1.934800000000001</v>
      </c>
      <c r="BB29" s="92">
        <f t="shared" si="53"/>
        <v>2.2047999999999992</v>
      </c>
      <c r="BC29" s="92">
        <f t="shared" si="53"/>
        <v>1.504800000000001</v>
      </c>
      <c r="BD29" s="92">
        <f t="shared" si="53"/>
        <v>3.6047999999999982</v>
      </c>
      <c r="BE29" s="92">
        <f>BE28+0.0254</f>
        <v>1.6054000000000002</v>
      </c>
      <c r="BF29" s="92">
        <f>BF28+0.0254</f>
        <v>1.6054000000000002</v>
      </c>
      <c r="BG29" s="92">
        <f t="shared" si="54"/>
        <v>1.934800000000001</v>
      </c>
      <c r="BH29" s="92">
        <f t="shared" si="54"/>
        <v>2.234799999999999</v>
      </c>
      <c r="BI29" s="92">
        <f t="shared" si="54"/>
        <v>2.1048</v>
      </c>
      <c r="BJ29" s="92">
        <f t="shared" si="54"/>
        <v>2.1847999999999992</v>
      </c>
      <c r="BK29" s="92">
        <f t="shared" si="54"/>
        <v>1.3848000000000011</v>
      </c>
      <c r="BL29" s="92">
        <f t="shared" si="54"/>
        <v>1.434800000000001</v>
      </c>
      <c r="BM29" s="92">
        <f t="shared" si="54"/>
        <v>1.954800000000001</v>
      </c>
      <c r="BN29" s="92">
        <f t="shared" si="54"/>
        <v>2.4347999999999983</v>
      </c>
      <c r="BO29" s="92">
        <f t="shared" si="54"/>
        <v>2.0048000000000012</v>
      </c>
      <c r="BP29" s="92">
        <f t="shared" ref="BP29:BQ29" si="104">BP28+0.0254</f>
        <v>3.9047999999999985</v>
      </c>
      <c r="BQ29" s="92">
        <f t="shared" si="104"/>
        <v>3.0047999999999986</v>
      </c>
      <c r="BR29" s="92">
        <f t="shared" ref="BR29:BS29" si="105">BR28+0.0254</f>
        <v>3.6047999999999982</v>
      </c>
      <c r="BS29" s="92">
        <f t="shared" si="105"/>
        <v>3.4547999999999983</v>
      </c>
      <c r="BT29" s="92">
        <f t="shared" ref="BT29" si="106">BT28+0.0254</f>
        <v>3.0297999999999985</v>
      </c>
    </row>
    <row r="30" spans="1:72" x14ac:dyDescent="0.2">
      <c r="A30" s="12" t="s">
        <v>183</v>
      </c>
      <c r="B30" s="12">
        <f>B29*0.45</f>
        <v>58.5</v>
      </c>
      <c r="C30" s="42">
        <v>79.650000000000006</v>
      </c>
      <c r="D30" s="42"/>
      <c r="E30" s="42"/>
      <c r="F30" s="43">
        <v>27</v>
      </c>
      <c r="G30" s="12">
        <v>291</v>
      </c>
      <c r="H30" s="42">
        <f>H29+(0.0254*1.7)</f>
        <v>2.1275200000000005</v>
      </c>
      <c r="I30" s="42">
        <f t="shared" ref="I30:AS30" si="107">I29+(0.0254*1.7)</f>
        <v>2.0537200000000007</v>
      </c>
      <c r="J30" s="42">
        <f t="shared" si="107"/>
        <v>2.1045200000000004</v>
      </c>
      <c r="K30" s="42">
        <f t="shared" si="107"/>
        <v>2.0791200000000005</v>
      </c>
      <c r="L30" s="42">
        <f t="shared" si="107"/>
        <v>2.1275200000000005</v>
      </c>
      <c r="M30" s="42">
        <f t="shared" si="107"/>
        <v>2.2648199999999998</v>
      </c>
      <c r="N30" s="42">
        <f t="shared" si="107"/>
        <v>2.1045200000000004</v>
      </c>
      <c r="O30" s="42">
        <f t="shared" si="107"/>
        <v>1.3775200000000007</v>
      </c>
      <c r="P30" s="42">
        <f t="shared" si="107"/>
        <v>2.3283199999999993</v>
      </c>
      <c r="Q30" s="42">
        <f t="shared" si="107"/>
        <v>1.9037200000000005</v>
      </c>
      <c r="R30" s="42">
        <f t="shared" si="107"/>
        <v>1.9037200000000005</v>
      </c>
      <c r="S30" s="42">
        <f t="shared" si="107"/>
        <v>2.1553200000000006</v>
      </c>
      <c r="T30" s="42">
        <f t="shared" si="107"/>
        <v>1.1410199999999999</v>
      </c>
      <c r="U30" s="42">
        <f t="shared" si="107"/>
        <v>1.3545200000000006</v>
      </c>
      <c r="V30" s="42">
        <f t="shared" si="107"/>
        <v>1.7283200000000007</v>
      </c>
      <c r="W30" s="42">
        <f t="shared" si="107"/>
        <v>2.0537200000000007</v>
      </c>
      <c r="X30" s="42">
        <f t="shared" si="107"/>
        <v>2.1402200000000002</v>
      </c>
      <c r="Y30" s="42">
        <f t="shared" si="107"/>
        <v>2.2164200000000003</v>
      </c>
      <c r="Z30" s="42">
        <f t="shared" si="107"/>
        <v>2.1045200000000004</v>
      </c>
      <c r="AA30" s="42">
        <f t="shared" si="107"/>
        <v>1.6545200000000009</v>
      </c>
      <c r="AB30" s="42">
        <f t="shared" si="107"/>
        <v>2.1529200000000004</v>
      </c>
      <c r="AC30" s="42">
        <f t="shared" si="107"/>
        <v>2.1656200000000001</v>
      </c>
      <c r="AD30" s="42">
        <f t="shared" si="107"/>
        <v>1.3291200000000005</v>
      </c>
      <c r="AE30" s="42">
        <f t="shared" si="107"/>
        <v>2.1275200000000005</v>
      </c>
      <c r="AF30" s="42">
        <f t="shared" si="107"/>
        <v>1.7791200000000007</v>
      </c>
      <c r="AG30" s="42">
        <f t="shared" si="107"/>
        <v>2.1299200000000003</v>
      </c>
      <c r="AH30" s="42">
        <f t="shared" si="107"/>
        <v>2.0767200000000008</v>
      </c>
      <c r="AI30" s="42">
        <f t="shared" si="107"/>
        <v>2.0537200000000007</v>
      </c>
      <c r="AJ30" s="42">
        <f t="shared" si="107"/>
        <v>1.4283200000000007</v>
      </c>
      <c r="AK30" s="42">
        <f t="shared" si="107"/>
        <v>2.1045200000000004</v>
      </c>
      <c r="AL30" s="42">
        <f t="shared" si="107"/>
        <v>1.3545200000000006</v>
      </c>
      <c r="AM30" s="42">
        <f t="shared" si="107"/>
        <v>2.1275200000000005</v>
      </c>
      <c r="AN30" s="42">
        <f t="shared" si="107"/>
        <v>2.1045200000000004</v>
      </c>
      <c r="AO30" s="42">
        <f t="shared" si="107"/>
        <v>2.1553200000000006</v>
      </c>
      <c r="AP30" s="42">
        <f t="shared" si="107"/>
        <v>1.8021200000000006</v>
      </c>
      <c r="AQ30" s="42">
        <f t="shared" si="107"/>
        <v>2.1553200000000006</v>
      </c>
      <c r="AR30" s="42">
        <f t="shared" si="107"/>
        <v>2.1275200000000005</v>
      </c>
      <c r="AS30" s="42">
        <f t="shared" si="107"/>
        <v>2.1275200000000005</v>
      </c>
      <c r="AT30" s="92">
        <v>1.61</v>
      </c>
      <c r="AU30" s="92">
        <f t="shared" ref="AU30" si="108">AU29+0.0254</f>
        <v>2.2301999999999991</v>
      </c>
      <c r="AV30" s="92">
        <f t="shared" si="53"/>
        <v>2.3101999999999983</v>
      </c>
      <c r="AW30" s="92">
        <f t="shared" si="53"/>
        <v>1.3602000000000012</v>
      </c>
      <c r="AX30" s="92">
        <f t="shared" si="53"/>
        <v>2.0802000000000005</v>
      </c>
      <c r="AY30" s="92">
        <f t="shared" si="53"/>
        <v>2.1601999999999997</v>
      </c>
      <c r="AZ30" s="92">
        <f t="shared" si="53"/>
        <v>1.9802000000000011</v>
      </c>
      <c r="BA30" s="92">
        <f t="shared" si="53"/>
        <v>1.9602000000000011</v>
      </c>
      <c r="BB30" s="92">
        <f t="shared" si="53"/>
        <v>2.2301999999999991</v>
      </c>
      <c r="BC30" s="92">
        <f t="shared" si="53"/>
        <v>1.5302000000000011</v>
      </c>
      <c r="BD30" s="92">
        <f t="shared" si="53"/>
        <v>3.6301999999999981</v>
      </c>
      <c r="BE30" s="92">
        <v>1.61</v>
      </c>
      <c r="BF30" s="92">
        <v>1.61</v>
      </c>
      <c r="BG30" s="92">
        <f t="shared" si="54"/>
        <v>1.9602000000000011</v>
      </c>
      <c r="BH30" s="92">
        <f t="shared" si="54"/>
        <v>2.2601999999999989</v>
      </c>
      <c r="BI30" s="92">
        <f t="shared" si="54"/>
        <v>2.1301999999999999</v>
      </c>
      <c r="BJ30" s="92">
        <f t="shared" si="54"/>
        <v>2.2101999999999991</v>
      </c>
      <c r="BK30" s="92">
        <f t="shared" si="54"/>
        <v>1.4102000000000012</v>
      </c>
      <c r="BL30" s="92">
        <f t="shared" si="54"/>
        <v>1.4602000000000011</v>
      </c>
      <c r="BM30" s="92">
        <f t="shared" si="54"/>
        <v>1.9802000000000011</v>
      </c>
      <c r="BN30" s="92">
        <f t="shared" si="54"/>
        <v>2.4601999999999982</v>
      </c>
      <c r="BO30" s="92">
        <f t="shared" si="54"/>
        <v>2.0302000000000011</v>
      </c>
      <c r="BP30" s="92">
        <f t="shared" ref="BP30:BQ30" si="109">BP29+0.0254</f>
        <v>3.9301999999999984</v>
      </c>
      <c r="BQ30" s="92">
        <f t="shared" si="109"/>
        <v>3.0301999999999985</v>
      </c>
      <c r="BR30" s="92">
        <f t="shared" ref="BR30:BS30" si="110">BR29+0.0254</f>
        <v>3.6301999999999981</v>
      </c>
      <c r="BS30" s="92">
        <f t="shared" si="110"/>
        <v>3.4801999999999982</v>
      </c>
      <c r="BT30" s="92">
        <f t="shared" ref="BT30" si="111">BT29+0.0254</f>
        <v>3.0551999999999984</v>
      </c>
    </row>
    <row r="31" spans="1:72" x14ac:dyDescent="0.2">
      <c r="C31" s="42">
        <f>(C30-C29)/28</f>
        <v>1.2375000000000003</v>
      </c>
      <c r="D31" s="42"/>
      <c r="E31" s="42"/>
      <c r="F31" s="43">
        <v>28</v>
      </c>
      <c r="G31" s="12">
        <v>321</v>
      </c>
      <c r="H31" s="42">
        <f>H30+(0.0254*1.8)</f>
        <v>2.1732400000000007</v>
      </c>
      <c r="I31" s="42">
        <f t="shared" ref="I31:AS31" si="112">I30+(0.0254*1.8)</f>
        <v>2.0994400000000009</v>
      </c>
      <c r="J31" s="42">
        <f t="shared" si="112"/>
        <v>2.1502400000000006</v>
      </c>
      <c r="K31" s="42">
        <f t="shared" si="112"/>
        <v>2.1248400000000007</v>
      </c>
      <c r="L31" s="42">
        <f t="shared" si="112"/>
        <v>2.1732400000000007</v>
      </c>
      <c r="M31" s="42">
        <f t="shared" si="112"/>
        <v>2.31054</v>
      </c>
      <c r="N31" s="42">
        <f t="shared" si="112"/>
        <v>2.1502400000000006</v>
      </c>
      <c r="O31" s="42">
        <f t="shared" si="112"/>
        <v>1.4232400000000007</v>
      </c>
      <c r="P31" s="42">
        <f t="shared" si="112"/>
        <v>2.3740399999999995</v>
      </c>
      <c r="Q31" s="42">
        <f t="shared" si="112"/>
        <v>1.9494400000000005</v>
      </c>
      <c r="R31" s="42">
        <f t="shared" si="112"/>
        <v>1.9494400000000005</v>
      </c>
      <c r="S31" s="42">
        <f t="shared" si="112"/>
        <v>2.2010400000000008</v>
      </c>
      <c r="T31" s="42">
        <f t="shared" si="112"/>
        <v>1.1867399999999999</v>
      </c>
      <c r="U31" s="42">
        <f t="shared" si="112"/>
        <v>1.4002400000000006</v>
      </c>
      <c r="V31" s="42">
        <f t="shared" si="112"/>
        <v>1.7740400000000007</v>
      </c>
      <c r="W31" s="42">
        <f t="shared" si="112"/>
        <v>2.0994400000000009</v>
      </c>
      <c r="X31" s="42">
        <f t="shared" si="112"/>
        <v>2.1859400000000004</v>
      </c>
      <c r="Y31" s="42">
        <f t="shared" si="112"/>
        <v>2.2621400000000005</v>
      </c>
      <c r="Z31" s="42">
        <f t="shared" si="112"/>
        <v>2.1502400000000006</v>
      </c>
      <c r="AA31" s="42">
        <f t="shared" si="112"/>
        <v>1.7002400000000009</v>
      </c>
      <c r="AB31" s="42">
        <f t="shared" si="112"/>
        <v>2.1986400000000006</v>
      </c>
      <c r="AC31" s="42">
        <f t="shared" si="112"/>
        <v>2.2113400000000003</v>
      </c>
      <c r="AD31" s="42">
        <f t="shared" si="112"/>
        <v>1.3748400000000005</v>
      </c>
      <c r="AE31" s="42">
        <f t="shared" si="112"/>
        <v>2.1732400000000007</v>
      </c>
      <c r="AF31" s="42">
        <f t="shared" si="112"/>
        <v>1.8248400000000007</v>
      </c>
      <c r="AG31" s="42">
        <f t="shared" si="112"/>
        <v>2.1756400000000005</v>
      </c>
      <c r="AH31" s="42">
        <f t="shared" si="112"/>
        <v>2.122440000000001</v>
      </c>
      <c r="AI31" s="42">
        <f t="shared" si="112"/>
        <v>2.0994400000000009</v>
      </c>
      <c r="AJ31" s="42">
        <f t="shared" si="112"/>
        <v>1.4740400000000007</v>
      </c>
      <c r="AK31" s="42">
        <f t="shared" si="112"/>
        <v>2.1502400000000006</v>
      </c>
      <c r="AL31" s="42">
        <f t="shared" si="112"/>
        <v>1.4002400000000006</v>
      </c>
      <c r="AM31" s="42">
        <f t="shared" si="112"/>
        <v>2.1732400000000007</v>
      </c>
      <c r="AN31" s="42">
        <f t="shared" si="112"/>
        <v>2.1502400000000006</v>
      </c>
      <c r="AO31" s="42">
        <f t="shared" si="112"/>
        <v>2.2010400000000008</v>
      </c>
      <c r="AP31" s="42">
        <f t="shared" si="112"/>
        <v>1.8478400000000006</v>
      </c>
      <c r="AQ31" s="42">
        <f t="shared" si="112"/>
        <v>2.2010400000000008</v>
      </c>
      <c r="AR31" s="42">
        <f t="shared" si="112"/>
        <v>2.1732400000000007</v>
      </c>
      <c r="AS31" s="42">
        <f t="shared" si="112"/>
        <v>2.1732400000000007</v>
      </c>
      <c r="AT31" s="92">
        <f>AT30+0.0254</f>
        <v>1.6354000000000002</v>
      </c>
      <c r="AU31" s="92">
        <f t="shared" ref="AU31" si="113">AU30+0.0254</f>
        <v>2.2555999999999989</v>
      </c>
      <c r="AV31" s="92">
        <f t="shared" si="53"/>
        <v>2.3355999999999981</v>
      </c>
      <c r="AW31" s="92">
        <f t="shared" si="53"/>
        <v>1.3856000000000013</v>
      </c>
      <c r="AX31" s="92">
        <f t="shared" si="53"/>
        <v>2.1056000000000004</v>
      </c>
      <c r="AY31" s="92">
        <f t="shared" si="53"/>
        <v>2.1855999999999995</v>
      </c>
      <c r="AZ31" s="92">
        <f t="shared" si="53"/>
        <v>2.0056000000000012</v>
      </c>
      <c r="BA31" s="92">
        <f t="shared" si="53"/>
        <v>1.9856000000000011</v>
      </c>
      <c r="BB31" s="92">
        <f t="shared" si="53"/>
        <v>2.2555999999999989</v>
      </c>
      <c r="BC31" s="92">
        <f t="shared" si="53"/>
        <v>1.5556000000000012</v>
      </c>
      <c r="BD31" s="92">
        <f t="shared" si="53"/>
        <v>3.655599999999998</v>
      </c>
      <c r="BE31" s="92">
        <f>BE30+0.0254</f>
        <v>1.6354000000000002</v>
      </c>
      <c r="BF31" s="92">
        <f>BF30+0.0254</f>
        <v>1.6354000000000002</v>
      </c>
      <c r="BG31" s="92">
        <f t="shared" si="54"/>
        <v>1.9856000000000011</v>
      </c>
      <c r="BH31" s="92">
        <f t="shared" si="54"/>
        <v>2.2855999999999987</v>
      </c>
      <c r="BI31" s="92">
        <f t="shared" si="54"/>
        <v>2.1555999999999997</v>
      </c>
      <c r="BJ31" s="92">
        <f t="shared" si="54"/>
        <v>2.2355999999999989</v>
      </c>
      <c r="BK31" s="92">
        <f t="shared" si="54"/>
        <v>1.4356000000000013</v>
      </c>
      <c r="BL31" s="92">
        <f t="shared" si="54"/>
        <v>1.4856000000000011</v>
      </c>
      <c r="BM31" s="92">
        <f t="shared" si="54"/>
        <v>2.0056000000000012</v>
      </c>
      <c r="BN31" s="92">
        <f t="shared" si="54"/>
        <v>2.485599999999998</v>
      </c>
      <c r="BO31" s="92">
        <f t="shared" si="54"/>
        <v>2.055600000000001</v>
      </c>
      <c r="BP31" s="92">
        <f t="shared" ref="BP31:BQ31" si="114">BP30+0.0254</f>
        <v>3.9555999999999982</v>
      </c>
      <c r="BQ31" s="92">
        <f t="shared" si="114"/>
        <v>3.0555999999999983</v>
      </c>
      <c r="BR31" s="92">
        <f t="shared" ref="BR31:BS31" si="115">BR30+0.0254</f>
        <v>3.655599999999998</v>
      </c>
      <c r="BS31" s="92">
        <f t="shared" si="115"/>
        <v>3.5055999999999981</v>
      </c>
      <c r="BT31" s="92">
        <f t="shared" ref="BT31" si="116">BT30+0.0254</f>
        <v>3.0805999999999982</v>
      </c>
    </row>
    <row r="32" spans="1:72" x14ac:dyDescent="0.2">
      <c r="AT32" s="67"/>
      <c r="AU32" s="67"/>
      <c r="AV32" s="67"/>
      <c r="AW32" s="67"/>
      <c r="AX32" s="67"/>
      <c r="AY32" s="67"/>
      <c r="AZ32" s="67"/>
      <c r="BA32" s="67"/>
      <c r="BB32" s="67"/>
      <c r="BC32" s="67"/>
      <c r="BD32" s="67"/>
      <c r="BE32" s="67"/>
      <c r="BF32" s="67"/>
      <c r="BG32" s="67"/>
      <c r="BH32" s="67"/>
      <c r="BI32" s="67"/>
      <c r="BJ32" s="67"/>
      <c r="BK32" s="67"/>
      <c r="BL32" s="67"/>
      <c r="BM32" s="67"/>
      <c r="BN32" s="67"/>
      <c r="BO32" s="67"/>
      <c r="BP32" s="67"/>
    </row>
    <row r="33" spans="1:72" x14ac:dyDescent="0.2">
      <c r="A33" s="12" t="s">
        <v>3497</v>
      </c>
      <c r="B33" s="12">
        <f>VLOOKUP(Stats!$L$8,$G$35:$BT$134,$C$42)</f>
        <v>10</v>
      </c>
      <c r="G33" s="12" t="s">
        <v>1142</v>
      </c>
      <c r="H33" s="77" t="s">
        <v>4050</v>
      </c>
      <c r="I33" s="77" t="s">
        <v>4247</v>
      </c>
      <c r="J33" s="77" t="s">
        <v>4064</v>
      </c>
      <c r="K33" s="77" t="s">
        <v>4056</v>
      </c>
      <c r="L33" s="77" t="s">
        <v>4057</v>
      </c>
      <c r="M33" s="77" t="s">
        <v>894</v>
      </c>
      <c r="N33" s="77" t="s">
        <v>4063</v>
      </c>
      <c r="O33" s="77" t="s">
        <v>4052</v>
      </c>
      <c r="P33" s="77" t="s">
        <v>4062</v>
      </c>
      <c r="Q33" s="77" t="s">
        <v>958</v>
      </c>
      <c r="R33" s="77" t="s">
        <v>957</v>
      </c>
      <c r="S33" s="77" t="s">
        <v>4065</v>
      </c>
      <c r="T33" s="77" t="s">
        <v>4215</v>
      </c>
      <c r="U33" s="77" t="s">
        <v>4227</v>
      </c>
      <c r="V33" s="77" t="s">
        <v>4226</v>
      </c>
      <c r="W33" s="77" t="s">
        <v>4066</v>
      </c>
      <c r="X33" s="77" t="s">
        <v>880</v>
      </c>
      <c r="Y33" s="77" t="s">
        <v>1038</v>
      </c>
      <c r="Z33" s="77" t="s">
        <v>4067</v>
      </c>
      <c r="AA33" s="77" t="s">
        <v>4225</v>
      </c>
      <c r="AB33" s="77" t="s">
        <v>4058</v>
      </c>
      <c r="AC33" s="77" t="s">
        <v>4254</v>
      </c>
      <c r="AD33" s="77" t="s">
        <v>4259</v>
      </c>
      <c r="AE33" s="77" t="s">
        <v>4041</v>
      </c>
      <c r="AF33" s="77" t="s">
        <v>4230</v>
      </c>
      <c r="AG33" s="77" t="s">
        <v>4059</v>
      </c>
      <c r="AH33" s="77" t="s">
        <v>4068</v>
      </c>
      <c r="AI33" s="77" t="s">
        <v>4060</v>
      </c>
      <c r="AJ33" s="77" t="s">
        <v>4054</v>
      </c>
      <c r="AK33" s="77" t="s">
        <v>4069</v>
      </c>
      <c r="AL33" s="77" t="s">
        <v>4237</v>
      </c>
      <c r="AM33" s="77" t="s">
        <v>4040</v>
      </c>
      <c r="AN33" s="77" t="s">
        <v>4061</v>
      </c>
      <c r="AO33" s="77" t="s">
        <v>4070</v>
      </c>
      <c r="AP33" s="77" t="s">
        <v>4243</v>
      </c>
      <c r="AQ33" s="77" t="s">
        <v>4071</v>
      </c>
      <c r="AR33" s="77" t="s">
        <v>4049</v>
      </c>
      <c r="AS33" s="77" t="s">
        <v>4042</v>
      </c>
      <c r="AT33" s="67" t="s">
        <v>876</v>
      </c>
      <c r="AU33" s="67" t="s">
        <v>5474</v>
      </c>
      <c r="AV33" s="67" t="s">
        <v>877</v>
      </c>
      <c r="AW33" s="67" t="s">
        <v>941</v>
      </c>
      <c r="AX33" s="67" t="s">
        <v>3481</v>
      </c>
      <c r="AY33" s="67" t="s">
        <v>881</v>
      </c>
      <c r="AZ33" s="67" t="s">
        <v>888</v>
      </c>
      <c r="BA33" s="67" t="s">
        <v>1015</v>
      </c>
      <c r="BB33" s="67" t="s">
        <v>917</v>
      </c>
      <c r="BC33" s="67" t="s">
        <v>4916</v>
      </c>
      <c r="BD33" s="67" t="s">
        <v>992</v>
      </c>
      <c r="BE33" s="67" t="s">
        <v>956</v>
      </c>
      <c r="BF33" s="67" t="s">
        <v>892</v>
      </c>
      <c r="BG33" s="67" t="s">
        <v>887</v>
      </c>
      <c r="BH33" s="67" t="s">
        <v>879</v>
      </c>
      <c r="BI33" s="67" t="s">
        <v>878</v>
      </c>
      <c r="BJ33" s="67" t="s">
        <v>1034</v>
      </c>
      <c r="BK33" s="67" t="s">
        <v>942</v>
      </c>
      <c r="BL33" s="67" t="s">
        <v>943</v>
      </c>
      <c r="BM33" s="67" t="s">
        <v>1130</v>
      </c>
      <c r="BN33" s="67" t="s">
        <v>3483</v>
      </c>
      <c r="BO33" s="67" t="s">
        <v>3484</v>
      </c>
      <c r="BP33" s="67" t="s">
        <v>959</v>
      </c>
      <c r="BQ33" s="12" t="s">
        <v>963</v>
      </c>
      <c r="BR33" s="12" t="s">
        <v>960</v>
      </c>
      <c r="BS33" s="12" t="s">
        <v>962</v>
      </c>
      <c r="BT33" s="12" t="s">
        <v>964</v>
      </c>
    </row>
    <row r="34" spans="1:72" x14ac:dyDescent="0.2">
      <c r="A34" s="12" t="s">
        <v>3498</v>
      </c>
      <c r="B34" s="42">
        <f>VLOOKUP(Stats!$B$2,$B$44:$D$112,3,0)</f>
        <v>47.657952069716771</v>
      </c>
      <c r="G34" s="23">
        <v>1</v>
      </c>
      <c r="H34" s="61">
        <v>2</v>
      </c>
      <c r="I34" s="61">
        <v>3</v>
      </c>
      <c r="J34" s="61">
        <v>4</v>
      </c>
      <c r="K34" s="61">
        <v>5</v>
      </c>
      <c r="L34" s="61">
        <v>6</v>
      </c>
      <c r="M34" s="61">
        <v>7</v>
      </c>
      <c r="N34" s="61">
        <v>8</v>
      </c>
      <c r="O34" s="61">
        <v>9</v>
      </c>
      <c r="P34" s="61">
        <v>10</v>
      </c>
      <c r="Q34" s="61">
        <v>11</v>
      </c>
      <c r="R34" s="61">
        <v>12</v>
      </c>
      <c r="S34" s="61">
        <v>13</v>
      </c>
      <c r="T34" s="61">
        <v>14</v>
      </c>
      <c r="U34" s="61">
        <v>15</v>
      </c>
      <c r="V34" s="61">
        <v>16</v>
      </c>
      <c r="W34" s="61">
        <v>17</v>
      </c>
      <c r="X34" s="61">
        <v>18</v>
      </c>
      <c r="Y34" s="61">
        <v>19</v>
      </c>
      <c r="Z34" s="61">
        <v>20</v>
      </c>
      <c r="AA34" s="61">
        <v>21</v>
      </c>
      <c r="AB34" s="61">
        <v>22</v>
      </c>
      <c r="AC34" s="61">
        <v>23</v>
      </c>
      <c r="AD34" s="61">
        <v>24</v>
      </c>
      <c r="AE34" s="61">
        <v>25</v>
      </c>
      <c r="AF34" s="61">
        <v>26</v>
      </c>
      <c r="AG34" s="61">
        <v>27</v>
      </c>
      <c r="AH34" s="61">
        <v>28</v>
      </c>
      <c r="AI34" s="61">
        <v>29</v>
      </c>
      <c r="AJ34" s="61">
        <v>30</v>
      </c>
      <c r="AK34" s="61">
        <v>31</v>
      </c>
      <c r="AL34" s="61">
        <v>32</v>
      </c>
      <c r="AM34" s="61">
        <v>33</v>
      </c>
      <c r="AN34" s="61">
        <v>34</v>
      </c>
      <c r="AO34" s="61">
        <v>35</v>
      </c>
      <c r="AP34" s="61">
        <v>36</v>
      </c>
      <c r="AQ34" s="61">
        <v>37</v>
      </c>
      <c r="AR34" s="61">
        <v>38</v>
      </c>
      <c r="AS34" s="61">
        <v>39</v>
      </c>
      <c r="AT34" s="61">
        <v>40</v>
      </c>
      <c r="AU34" s="61">
        <v>41</v>
      </c>
      <c r="AV34" s="61">
        <v>42</v>
      </c>
      <c r="AW34" s="61">
        <v>43</v>
      </c>
      <c r="AX34" s="61">
        <v>44</v>
      </c>
      <c r="AY34" s="61">
        <v>45</v>
      </c>
      <c r="AZ34" s="61">
        <v>46</v>
      </c>
      <c r="BA34" s="61">
        <v>47</v>
      </c>
      <c r="BB34" s="61">
        <v>48</v>
      </c>
      <c r="BC34" s="61">
        <v>49</v>
      </c>
      <c r="BD34" s="61">
        <v>50</v>
      </c>
      <c r="BE34" s="61">
        <v>51</v>
      </c>
      <c r="BF34" s="61">
        <v>52</v>
      </c>
      <c r="BG34" s="61">
        <v>53</v>
      </c>
      <c r="BH34" s="61">
        <v>54</v>
      </c>
      <c r="BI34" s="61">
        <v>55</v>
      </c>
      <c r="BJ34" s="61">
        <v>56</v>
      </c>
      <c r="BK34" s="61">
        <v>57</v>
      </c>
      <c r="BL34" s="61">
        <v>58</v>
      </c>
      <c r="BM34" s="61">
        <v>59</v>
      </c>
      <c r="BN34" s="61">
        <v>60</v>
      </c>
      <c r="BO34" s="61">
        <v>61</v>
      </c>
      <c r="BP34" s="86">
        <v>62</v>
      </c>
      <c r="BQ34" s="23">
        <v>63</v>
      </c>
      <c r="BR34" s="23">
        <v>64</v>
      </c>
      <c r="BS34" s="23">
        <v>65</v>
      </c>
      <c r="BT34" s="12">
        <v>66</v>
      </c>
    </row>
    <row r="35" spans="1:72" x14ac:dyDescent="0.2">
      <c r="A35" s="12" t="s">
        <v>3499</v>
      </c>
      <c r="B35" s="42">
        <f>VLOOKUP(Stats!$B$2,$B$44:$E$131,4,0)</f>
        <v>1.2105119825708073</v>
      </c>
      <c r="G35" s="23">
        <v>1</v>
      </c>
      <c r="H35" s="61">
        <v>-10</v>
      </c>
      <c r="I35" s="61">
        <v>-10</v>
      </c>
      <c r="J35" s="61">
        <v>-10</v>
      </c>
      <c r="K35" s="61">
        <v>-10</v>
      </c>
      <c r="L35" s="61">
        <v>-10</v>
      </c>
      <c r="M35" s="61">
        <v>-10</v>
      </c>
      <c r="N35" s="61">
        <v>-10</v>
      </c>
      <c r="O35" s="61">
        <v>-10</v>
      </c>
      <c r="P35" s="61">
        <v>-10</v>
      </c>
      <c r="Q35" s="61">
        <v>-10</v>
      </c>
      <c r="R35" s="61">
        <v>-10</v>
      </c>
      <c r="S35" s="61">
        <v>-10</v>
      </c>
      <c r="T35" s="61">
        <v>-10</v>
      </c>
      <c r="U35" s="61">
        <v>-10</v>
      </c>
      <c r="V35" s="61">
        <v>-10</v>
      </c>
      <c r="W35" s="61">
        <v>-10</v>
      </c>
      <c r="X35" s="61">
        <v>-10</v>
      </c>
      <c r="Y35" s="61">
        <v>-10</v>
      </c>
      <c r="Z35" s="61">
        <v>-10</v>
      </c>
      <c r="AA35" s="61">
        <v>-10</v>
      </c>
      <c r="AB35" s="61">
        <v>-10</v>
      </c>
      <c r="AC35" s="61">
        <v>-10</v>
      </c>
      <c r="AD35" s="61">
        <v>-10</v>
      </c>
      <c r="AE35" s="61">
        <v>-10</v>
      </c>
      <c r="AF35" s="61">
        <v>-10</v>
      </c>
      <c r="AG35" s="61">
        <v>-10</v>
      </c>
      <c r="AH35" s="61">
        <v>-10</v>
      </c>
      <c r="AI35" s="61">
        <v>-10</v>
      </c>
      <c r="AJ35" s="61">
        <v>-10</v>
      </c>
      <c r="AK35" s="61">
        <v>-10</v>
      </c>
      <c r="AL35" s="61">
        <v>-10</v>
      </c>
      <c r="AM35" s="61">
        <v>-10</v>
      </c>
      <c r="AN35" s="61">
        <v>-10</v>
      </c>
      <c r="AO35" s="61">
        <v>-10</v>
      </c>
      <c r="AP35" s="61">
        <v>-10</v>
      </c>
      <c r="AQ35" s="61">
        <v>-10</v>
      </c>
      <c r="AR35" s="61">
        <v>-10</v>
      </c>
      <c r="AS35" s="61">
        <v>-10</v>
      </c>
      <c r="AT35" s="91">
        <v>-6</v>
      </c>
      <c r="AU35" s="91">
        <v>-8</v>
      </c>
      <c r="AV35" s="91">
        <v>-8</v>
      </c>
      <c r="AW35" s="91">
        <v>-6</v>
      </c>
      <c r="AX35" s="91">
        <v>-8</v>
      </c>
      <c r="AY35" s="91">
        <v>-8</v>
      </c>
      <c r="AZ35" s="91">
        <v>-8</v>
      </c>
      <c r="BA35" s="91">
        <v>-8</v>
      </c>
      <c r="BB35" s="91">
        <v>-8</v>
      </c>
      <c r="BC35" s="91">
        <v>-8</v>
      </c>
      <c r="BD35" s="91">
        <v>-6</v>
      </c>
      <c r="BE35" s="91">
        <v>-8</v>
      </c>
      <c r="BF35" s="91">
        <v>-8</v>
      </c>
      <c r="BG35" s="91">
        <v>-8</v>
      </c>
      <c r="BH35" s="91">
        <v>-8</v>
      </c>
      <c r="BI35" s="91">
        <v>-8</v>
      </c>
      <c r="BJ35" s="91">
        <v>-8</v>
      </c>
      <c r="BK35" s="91">
        <v>-6</v>
      </c>
      <c r="BL35" s="91">
        <v>-6</v>
      </c>
      <c r="BM35" s="91">
        <v>-8</v>
      </c>
      <c r="BN35" s="91">
        <v>-6</v>
      </c>
      <c r="BO35" s="91">
        <v>-8</v>
      </c>
      <c r="BP35" s="91">
        <v>-8</v>
      </c>
      <c r="BQ35" s="91">
        <v>-8</v>
      </c>
      <c r="BR35" s="91">
        <v>-8</v>
      </c>
      <c r="BS35" s="91">
        <v>-8</v>
      </c>
      <c r="BT35" s="91">
        <v>-8</v>
      </c>
    </row>
    <row r="36" spans="1:72" x14ac:dyDescent="0.2">
      <c r="A36" s="12" t="s">
        <v>3500</v>
      </c>
      <c r="B36" s="12">
        <f>$B$35*$B$33</f>
        <v>12.105119825708073</v>
      </c>
      <c r="G36" s="23">
        <v>2</v>
      </c>
      <c r="H36" s="61">
        <v>-9</v>
      </c>
      <c r="I36" s="61">
        <v>-9</v>
      </c>
      <c r="J36" s="61">
        <v>-9</v>
      </c>
      <c r="K36" s="61">
        <v>-9</v>
      </c>
      <c r="L36" s="61">
        <v>-9</v>
      </c>
      <c r="M36" s="61">
        <v>-9</v>
      </c>
      <c r="N36" s="61">
        <v>-9</v>
      </c>
      <c r="O36" s="61">
        <v>-9</v>
      </c>
      <c r="P36" s="61">
        <v>-9</v>
      </c>
      <c r="Q36" s="61">
        <v>-9</v>
      </c>
      <c r="R36" s="61">
        <v>-9</v>
      </c>
      <c r="S36" s="61">
        <v>-9</v>
      </c>
      <c r="T36" s="61">
        <v>-9</v>
      </c>
      <c r="U36" s="61">
        <v>-9</v>
      </c>
      <c r="V36" s="61">
        <v>-9</v>
      </c>
      <c r="W36" s="61">
        <v>-9</v>
      </c>
      <c r="X36" s="61">
        <v>-9</v>
      </c>
      <c r="Y36" s="61">
        <v>-9</v>
      </c>
      <c r="Z36" s="61">
        <v>-9</v>
      </c>
      <c r="AA36" s="61">
        <v>-9</v>
      </c>
      <c r="AB36" s="61">
        <v>-9</v>
      </c>
      <c r="AC36" s="61">
        <v>-9</v>
      </c>
      <c r="AD36" s="61">
        <v>-9</v>
      </c>
      <c r="AE36" s="61">
        <v>-9</v>
      </c>
      <c r="AF36" s="61">
        <v>-9</v>
      </c>
      <c r="AG36" s="61">
        <v>-9</v>
      </c>
      <c r="AH36" s="61">
        <v>-9</v>
      </c>
      <c r="AI36" s="61">
        <v>-9</v>
      </c>
      <c r="AJ36" s="61">
        <v>-9</v>
      </c>
      <c r="AK36" s="61">
        <v>-9</v>
      </c>
      <c r="AL36" s="61">
        <v>-9</v>
      </c>
      <c r="AM36" s="61">
        <v>-9</v>
      </c>
      <c r="AN36" s="61">
        <v>-9</v>
      </c>
      <c r="AO36" s="61">
        <v>-9</v>
      </c>
      <c r="AP36" s="61">
        <v>-9</v>
      </c>
      <c r="AQ36" s="61">
        <v>-9</v>
      </c>
      <c r="AR36" s="61">
        <v>-9</v>
      </c>
      <c r="AS36" s="61">
        <v>-9</v>
      </c>
      <c r="AT36" s="91">
        <v>-5</v>
      </c>
      <c r="AU36" s="91">
        <v>-7</v>
      </c>
      <c r="AV36" s="91">
        <v>-7</v>
      </c>
      <c r="AW36" s="91">
        <v>-5</v>
      </c>
      <c r="AX36" s="91">
        <v>-7</v>
      </c>
      <c r="AY36" s="91">
        <v>-7</v>
      </c>
      <c r="AZ36" s="91">
        <v>-7</v>
      </c>
      <c r="BA36" s="91">
        <v>-7</v>
      </c>
      <c r="BB36" s="91">
        <v>-7</v>
      </c>
      <c r="BC36" s="91">
        <v>-7</v>
      </c>
      <c r="BD36" s="91">
        <v>-5</v>
      </c>
      <c r="BE36" s="91">
        <v>-7</v>
      </c>
      <c r="BF36" s="91">
        <v>-7</v>
      </c>
      <c r="BG36" s="91">
        <v>-7</v>
      </c>
      <c r="BH36" s="91">
        <v>-7</v>
      </c>
      <c r="BI36" s="91">
        <v>-7</v>
      </c>
      <c r="BJ36" s="91">
        <v>-7</v>
      </c>
      <c r="BK36" s="91">
        <v>-5</v>
      </c>
      <c r="BL36" s="91">
        <v>-5</v>
      </c>
      <c r="BM36" s="91">
        <v>-7</v>
      </c>
      <c r="BN36" s="91">
        <v>-5</v>
      </c>
      <c r="BO36" s="91">
        <v>-7</v>
      </c>
      <c r="BP36" s="91">
        <v>-7</v>
      </c>
      <c r="BQ36" s="91">
        <v>-7</v>
      </c>
      <c r="BR36" s="91">
        <v>-7</v>
      </c>
      <c r="BS36" s="91">
        <v>-7</v>
      </c>
      <c r="BT36" s="91">
        <v>-7</v>
      </c>
    </row>
    <row r="37" spans="1:72" x14ac:dyDescent="0.2">
      <c r="A37" s="12" t="s">
        <v>3501</v>
      </c>
      <c r="B37" s="42">
        <f>Stats!$B$3*$B$34+$B$36</f>
        <v>95.697167755991316</v>
      </c>
      <c r="D37" s="12" t="s">
        <v>3502</v>
      </c>
      <c r="E37" s="12">
        <v>120</v>
      </c>
      <c r="G37" s="23">
        <v>3</v>
      </c>
      <c r="H37" s="61">
        <v>-8</v>
      </c>
      <c r="I37" s="61">
        <v>-8</v>
      </c>
      <c r="J37" s="61">
        <v>-8</v>
      </c>
      <c r="K37" s="61">
        <v>-8</v>
      </c>
      <c r="L37" s="61">
        <v>-8</v>
      </c>
      <c r="M37" s="61">
        <v>-8</v>
      </c>
      <c r="N37" s="61">
        <v>-8</v>
      </c>
      <c r="O37" s="61">
        <v>-8</v>
      </c>
      <c r="P37" s="61">
        <v>-8</v>
      </c>
      <c r="Q37" s="61">
        <v>-8</v>
      </c>
      <c r="R37" s="61">
        <v>-8</v>
      </c>
      <c r="S37" s="61">
        <v>-8</v>
      </c>
      <c r="T37" s="61">
        <v>-8</v>
      </c>
      <c r="U37" s="61">
        <v>-8</v>
      </c>
      <c r="V37" s="61">
        <v>-8</v>
      </c>
      <c r="W37" s="61">
        <v>-8</v>
      </c>
      <c r="X37" s="61">
        <v>-8</v>
      </c>
      <c r="Y37" s="61">
        <v>-8</v>
      </c>
      <c r="Z37" s="61">
        <v>-8</v>
      </c>
      <c r="AA37" s="61">
        <v>-8</v>
      </c>
      <c r="AB37" s="61">
        <v>-8</v>
      </c>
      <c r="AC37" s="61">
        <v>-8</v>
      </c>
      <c r="AD37" s="61">
        <v>-8</v>
      </c>
      <c r="AE37" s="61">
        <v>-8</v>
      </c>
      <c r="AF37" s="61">
        <v>-8</v>
      </c>
      <c r="AG37" s="61">
        <v>-8</v>
      </c>
      <c r="AH37" s="61">
        <v>-8</v>
      </c>
      <c r="AI37" s="61">
        <v>-8</v>
      </c>
      <c r="AJ37" s="61">
        <v>-8</v>
      </c>
      <c r="AK37" s="61">
        <v>-8</v>
      </c>
      <c r="AL37" s="61">
        <v>-8</v>
      </c>
      <c r="AM37" s="61">
        <v>-8</v>
      </c>
      <c r="AN37" s="61">
        <v>-8</v>
      </c>
      <c r="AO37" s="61">
        <v>-8</v>
      </c>
      <c r="AP37" s="61">
        <v>-8</v>
      </c>
      <c r="AQ37" s="61">
        <v>-8</v>
      </c>
      <c r="AR37" s="61">
        <v>-8</v>
      </c>
      <c r="AS37" s="61">
        <v>-8</v>
      </c>
      <c r="AT37" s="91">
        <v>-4</v>
      </c>
      <c r="AU37" s="91">
        <v>-6</v>
      </c>
      <c r="AV37" s="91">
        <v>-6</v>
      </c>
      <c r="AW37" s="91">
        <v>-5</v>
      </c>
      <c r="AX37" s="91">
        <v>-6</v>
      </c>
      <c r="AY37" s="91">
        <v>-6</v>
      </c>
      <c r="AZ37" s="91">
        <v>-6</v>
      </c>
      <c r="BA37" s="91">
        <v>-6</v>
      </c>
      <c r="BB37" s="91">
        <v>-6</v>
      </c>
      <c r="BC37" s="91">
        <v>-7</v>
      </c>
      <c r="BD37" s="91">
        <v>-4</v>
      </c>
      <c r="BE37" s="91">
        <v>-6</v>
      </c>
      <c r="BF37" s="91">
        <v>-6</v>
      </c>
      <c r="BG37" s="91">
        <v>-6</v>
      </c>
      <c r="BH37" s="91">
        <v>-6</v>
      </c>
      <c r="BI37" s="91">
        <v>-6</v>
      </c>
      <c r="BJ37" s="91">
        <v>-6</v>
      </c>
      <c r="BK37" s="91">
        <v>-5</v>
      </c>
      <c r="BL37" s="91">
        <v>-5</v>
      </c>
      <c r="BM37" s="91">
        <v>-7</v>
      </c>
      <c r="BN37" s="91">
        <v>-4</v>
      </c>
      <c r="BO37" s="91">
        <v>-7</v>
      </c>
      <c r="BP37" s="91">
        <v>-7</v>
      </c>
      <c r="BQ37" s="91">
        <v>-7</v>
      </c>
      <c r="BR37" s="91">
        <v>-7</v>
      </c>
      <c r="BS37" s="91">
        <v>-7</v>
      </c>
      <c r="BT37" s="91">
        <v>-7</v>
      </c>
    </row>
    <row r="38" spans="1:72" x14ac:dyDescent="0.2">
      <c r="A38" s="12" t="s">
        <v>3496</v>
      </c>
      <c r="B38" s="42">
        <f>B37/0.45</f>
        <v>212.66037279109182</v>
      </c>
      <c r="E38" s="12">
        <v>29.25</v>
      </c>
      <c r="G38" s="23">
        <v>4</v>
      </c>
      <c r="H38" s="61">
        <v>-8</v>
      </c>
      <c r="I38" s="61">
        <v>-8</v>
      </c>
      <c r="J38" s="61">
        <v>-8</v>
      </c>
      <c r="K38" s="61">
        <v>-8</v>
      </c>
      <c r="L38" s="61">
        <v>-8</v>
      </c>
      <c r="M38" s="61">
        <v>-8</v>
      </c>
      <c r="N38" s="61">
        <v>-8</v>
      </c>
      <c r="O38" s="61">
        <v>-8</v>
      </c>
      <c r="P38" s="61">
        <v>-8</v>
      </c>
      <c r="Q38" s="61">
        <v>-8</v>
      </c>
      <c r="R38" s="61">
        <v>-8</v>
      </c>
      <c r="S38" s="61">
        <v>-8</v>
      </c>
      <c r="T38" s="61">
        <v>-8</v>
      </c>
      <c r="U38" s="61">
        <v>-8</v>
      </c>
      <c r="V38" s="61">
        <v>-8</v>
      </c>
      <c r="W38" s="61">
        <v>-8</v>
      </c>
      <c r="X38" s="61">
        <v>-8</v>
      </c>
      <c r="Y38" s="61">
        <v>-8</v>
      </c>
      <c r="Z38" s="61">
        <v>-8</v>
      </c>
      <c r="AA38" s="61">
        <v>-8</v>
      </c>
      <c r="AB38" s="61">
        <v>-8</v>
      </c>
      <c r="AC38" s="61">
        <v>-8</v>
      </c>
      <c r="AD38" s="61">
        <v>-8</v>
      </c>
      <c r="AE38" s="61">
        <v>-8</v>
      </c>
      <c r="AF38" s="61">
        <v>-8</v>
      </c>
      <c r="AG38" s="61">
        <v>-8</v>
      </c>
      <c r="AH38" s="61">
        <v>-8</v>
      </c>
      <c r="AI38" s="61">
        <v>-8</v>
      </c>
      <c r="AJ38" s="61">
        <v>-8</v>
      </c>
      <c r="AK38" s="61">
        <v>-8</v>
      </c>
      <c r="AL38" s="61">
        <v>-8</v>
      </c>
      <c r="AM38" s="61">
        <v>-8</v>
      </c>
      <c r="AN38" s="61">
        <v>-8</v>
      </c>
      <c r="AO38" s="61">
        <v>-8</v>
      </c>
      <c r="AP38" s="61">
        <v>-8</v>
      </c>
      <c r="AQ38" s="61">
        <v>-8</v>
      </c>
      <c r="AR38" s="61">
        <v>-8</v>
      </c>
      <c r="AS38" s="61">
        <v>-8</v>
      </c>
      <c r="AT38" s="91">
        <v>-4</v>
      </c>
      <c r="AU38" s="91">
        <v>-5</v>
      </c>
      <c r="AV38" s="91">
        <v>-5</v>
      </c>
      <c r="AW38" s="91">
        <v>-3</v>
      </c>
      <c r="AX38" s="91">
        <v>-5</v>
      </c>
      <c r="AY38" s="91">
        <v>-5</v>
      </c>
      <c r="AZ38" s="91">
        <v>-5</v>
      </c>
      <c r="BA38" s="91">
        <v>-5</v>
      </c>
      <c r="BB38" s="91">
        <v>-5</v>
      </c>
      <c r="BC38" s="91">
        <v>-6</v>
      </c>
      <c r="BD38" s="91">
        <v>-3</v>
      </c>
      <c r="BE38" s="91">
        <v>-5</v>
      </c>
      <c r="BF38" s="91">
        <v>-5</v>
      </c>
      <c r="BG38" s="91">
        <v>-5</v>
      </c>
      <c r="BH38" s="91">
        <v>-5</v>
      </c>
      <c r="BI38" s="91">
        <v>-5</v>
      </c>
      <c r="BJ38" s="91">
        <v>-5</v>
      </c>
      <c r="BK38" s="91">
        <v>-3</v>
      </c>
      <c r="BL38" s="91">
        <v>-3</v>
      </c>
      <c r="BM38" s="91">
        <v>-6</v>
      </c>
      <c r="BN38" s="91">
        <v>-3</v>
      </c>
      <c r="BO38" s="91">
        <v>-6</v>
      </c>
      <c r="BP38" s="91">
        <v>-6</v>
      </c>
      <c r="BQ38" s="91">
        <v>-6</v>
      </c>
      <c r="BR38" s="91">
        <v>-6</v>
      </c>
      <c r="BS38" s="91">
        <v>-6</v>
      </c>
      <c r="BT38" s="91">
        <v>-6</v>
      </c>
    </row>
    <row r="39" spans="1:72" x14ac:dyDescent="0.2">
      <c r="C39" s="42"/>
      <c r="D39" s="42"/>
      <c r="E39" s="42">
        <f>E38/120</f>
        <v>0.24374999999999999</v>
      </c>
      <c r="G39" s="23">
        <v>5</v>
      </c>
      <c r="H39" s="61">
        <v>-7</v>
      </c>
      <c r="I39" s="61">
        <v>-7</v>
      </c>
      <c r="J39" s="61">
        <v>-7</v>
      </c>
      <c r="K39" s="61">
        <v>-7</v>
      </c>
      <c r="L39" s="61">
        <v>-7</v>
      </c>
      <c r="M39" s="61">
        <v>-7</v>
      </c>
      <c r="N39" s="61">
        <v>-7</v>
      </c>
      <c r="O39" s="61">
        <v>-7</v>
      </c>
      <c r="P39" s="61">
        <v>-7</v>
      </c>
      <c r="Q39" s="61">
        <v>-7</v>
      </c>
      <c r="R39" s="61">
        <v>-7</v>
      </c>
      <c r="S39" s="61">
        <v>-7</v>
      </c>
      <c r="T39" s="61">
        <v>-7</v>
      </c>
      <c r="U39" s="61">
        <v>-7</v>
      </c>
      <c r="V39" s="61">
        <v>-7</v>
      </c>
      <c r="W39" s="61">
        <v>-7</v>
      </c>
      <c r="X39" s="61">
        <v>-7</v>
      </c>
      <c r="Y39" s="61">
        <v>-7</v>
      </c>
      <c r="Z39" s="61">
        <v>-7</v>
      </c>
      <c r="AA39" s="61">
        <v>-7</v>
      </c>
      <c r="AB39" s="61">
        <v>-7</v>
      </c>
      <c r="AC39" s="61">
        <v>-7</v>
      </c>
      <c r="AD39" s="61">
        <v>-7</v>
      </c>
      <c r="AE39" s="61">
        <v>-7</v>
      </c>
      <c r="AF39" s="61">
        <v>-7</v>
      </c>
      <c r="AG39" s="61">
        <v>-7</v>
      </c>
      <c r="AH39" s="61">
        <v>-7</v>
      </c>
      <c r="AI39" s="61">
        <v>-7</v>
      </c>
      <c r="AJ39" s="61">
        <v>-7</v>
      </c>
      <c r="AK39" s="61">
        <v>-7</v>
      </c>
      <c r="AL39" s="61">
        <v>-7</v>
      </c>
      <c r="AM39" s="61">
        <v>-7</v>
      </c>
      <c r="AN39" s="61">
        <v>-7</v>
      </c>
      <c r="AO39" s="61">
        <v>-7</v>
      </c>
      <c r="AP39" s="61">
        <v>-7</v>
      </c>
      <c r="AQ39" s="61">
        <v>-7</v>
      </c>
      <c r="AR39" s="61">
        <v>-7</v>
      </c>
      <c r="AS39" s="61">
        <v>-7</v>
      </c>
      <c r="AT39" s="91">
        <v>-4</v>
      </c>
      <c r="AU39" s="91">
        <v>-4</v>
      </c>
      <c r="AV39" s="91">
        <v>-4</v>
      </c>
      <c r="AW39" s="91">
        <v>-3</v>
      </c>
      <c r="AX39" s="91">
        <v>-5</v>
      </c>
      <c r="AY39" s="91">
        <v>-5</v>
      </c>
      <c r="AZ39" s="91">
        <v>-5</v>
      </c>
      <c r="BA39" s="91">
        <v>-5</v>
      </c>
      <c r="BB39" s="91">
        <v>-5</v>
      </c>
      <c r="BC39" s="91">
        <v>-6</v>
      </c>
      <c r="BD39" s="91">
        <v>-3</v>
      </c>
      <c r="BE39" s="91">
        <v>-5</v>
      </c>
      <c r="BF39" s="91">
        <v>-5</v>
      </c>
      <c r="BG39" s="91">
        <v>-5</v>
      </c>
      <c r="BH39" s="91">
        <v>-4</v>
      </c>
      <c r="BI39" s="91">
        <v>-4</v>
      </c>
      <c r="BJ39" s="91">
        <v>-4</v>
      </c>
      <c r="BK39" s="91">
        <v>-3</v>
      </c>
      <c r="BL39" s="91">
        <v>-3</v>
      </c>
      <c r="BM39" s="91">
        <v>-6</v>
      </c>
      <c r="BN39" s="91">
        <v>-3</v>
      </c>
      <c r="BO39" s="91">
        <v>-6</v>
      </c>
      <c r="BP39" s="91">
        <v>-6</v>
      </c>
      <c r="BQ39" s="91">
        <v>-6</v>
      </c>
      <c r="BR39" s="91">
        <v>-6</v>
      </c>
      <c r="BS39" s="91">
        <v>-6</v>
      </c>
      <c r="BT39" s="91">
        <v>-6</v>
      </c>
    </row>
    <row r="40" spans="1:72" x14ac:dyDescent="0.2">
      <c r="B40" s="42"/>
      <c r="G40" s="23">
        <v>6</v>
      </c>
      <c r="H40" s="61">
        <v>-7</v>
      </c>
      <c r="I40" s="61">
        <v>-7</v>
      </c>
      <c r="J40" s="61">
        <v>-7</v>
      </c>
      <c r="K40" s="61">
        <v>-7</v>
      </c>
      <c r="L40" s="61">
        <v>-7</v>
      </c>
      <c r="M40" s="61">
        <v>-7</v>
      </c>
      <c r="N40" s="61">
        <v>-7</v>
      </c>
      <c r="O40" s="61">
        <v>-7</v>
      </c>
      <c r="P40" s="61">
        <v>-7</v>
      </c>
      <c r="Q40" s="61">
        <v>-7</v>
      </c>
      <c r="R40" s="61">
        <v>-7</v>
      </c>
      <c r="S40" s="61">
        <v>-7</v>
      </c>
      <c r="T40" s="61">
        <v>-7</v>
      </c>
      <c r="U40" s="61">
        <v>-7</v>
      </c>
      <c r="V40" s="61">
        <v>-7</v>
      </c>
      <c r="W40" s="61">
        <v>-7</v>
      </c>
      <c r="X40" s="61">
        <v>-7</v>
      </c>
      <c r="Y40" s="61">
        <v>-7</v>
      </c>
      <c r="Z40" s="61">
        <v>-7</v>
      </c>
      <c r="AA40" s="61">
        <v>-7</v>
      </c>
      <c r="AB40" s="61">
        <v>-7</v>
      </c>
      <c r="AC40" s="61">
        <v>-7</v>
      </c>
      <c r="AD40" s="61">
        <v>-7</v>
      </c>
      <c r="AE40" s="61">
        <v>-7</v>
      </c>
      <c r="AF40" s="61">
        <v>-7</v>
      </c>
      <c r="AG40" s="61">
        <v>-7</v>
      </c>
      <c r="AH40" s="61">
        <v>-7</v>
      </c>
      <c r="AI40" s="61">
        <v>-7</v>
      </c>
      <c r="AJ40" s="61">
        <v>-7</v>
      </c>
      <c r="AK40" s="61">
        <v>-7</v>
      </c>
      <c r="AL40" s="61">
        <v>-7</v>
      </c>
      <c r="AM40" s="61">
        <v>-7</v>
      </c>
      <c r="AN40" s="61">
        <v>-7</v>
      </c>
      <c r="AO40" s="61">
        <v>-7</v>
      </c>
      <c r="AP40" s="61">
        <v>-7</v>
      </c>
      <c r="AQ40" s="61">
        <v>-7</v>
      </c>
      <c r="AR40" s="61">
        <v>-7</v>
      </c>
      <c r="AS40" s="61">
        <v>-7</v>
      </c>
      <c r="AT40" s="91">
        <v>-3</v>
      </c>
      <c r="AU40" s="91">
        <v>-4</v>
      </c>
      <c r="AV40" s="91">
        <v>-4</v>
      </c>
      <c r="AW40" s="91">
        <v>-3</v>
      </c>
      <c r="AX40" s="91">
        <v>-4</v>
      </c>
      <c r="AY40" s="91">
        <v>-4</v>
      </c>
      <c r="AZ40" s="91">
        <v>-4</v>
      </c>
      <c r="BA40" s="91">
        <v>-4</v>
      </c>
      <c r="BB40" s="91">
        <v>-4</v>
      </c>
      <c r="BC40" s="91">
        <v>-6</v>
      </c>
      <c r="BD40" s="91">
        <v>-2</v>
      </c>
      <c r="BE40" s="91">
        <v>-4</v>
      </c>
      <c r="BF40" s="91">
        <v>-4</v>
      </c>
      <c r="BG40" s="91">
        <v>-4</v>
      </c>
      <c r="BH40" s="91">
        <v>-4</v>
      </c>
      <c r="BI40" s="91">
        <v>-4</v>
      </c>
      <c r="BJ40" s="91">
        <v>-4</v>
      </c>
      <c r="BK40" s="91">
        <v>-3</v>
      </c>
      <c r="BL40" s="91">
        <v>-3</v>
      </c>
      <c r="BM40" s="91">
        <v>-6</v>
      </c>
      <c r="BN40" s="91">
        <v>-2</v>
      </c>
      <c r="BO40" s="91">
        <v>-6</v>
      </c>
      <c r="BP40" s="91">
        <v>-6</v>
      </c>
      <c r="BQ40" s="91">
        <v>-6</v>
      </c>
      <c r="BR40" s="91">
        <v>-6</v>
      </c>
      <c r="BS40" s="91">
        <v>-6</v>
      </c>
      <c r="BT40" s="91">
        <v>-6</v>
      </c>
    </row>
    <row r="41" spans="1:72" x14ac:dyDescent="0.2">
      <c r="G41" s="23">
        <v>7</v>
      </c>
      <c r="H41" s="61">
        <v>-7</v>
      </c>
      <c r="I41" s="61">
        <v>-7</v>
      </c>
      <c r="J41" s="61">
        <v>-7</v>
      </c>
      <c r="K41" s="61">
        <v>-7</v>
      </c>
      <c r="L41" s="61">
        <v>-7</v>
      </c>
      <c r="M41" s="61">
        <v>-7</v>
      </c>
      <c r="N41" s="61">
        <v>-7</v>
      </c>
      <c r="O41" s="61">
        <v>-7</v>
      </c>
      <c r="P41" s="61">
        <v>-7</v>
      </c>
      <c r="Q41" s="61">
        <v>-7</v>
      </c>
      <c r="R41" s="61">
        <v>-7</v>
      </c>
      <c r="S41" s="61">
        <v>-7</v>
      </c>
      <c r="T41" s="61">
        <v>-7</v>
      </c>
      <c r="U41" s="61">
        <v>-7</v>
      </c>
      <c r="V41" s="61">
        <v>-7</v>
      </c>
      <c r="W41" s="61">
        <v>-7</v>
      </c>
      <c r="X41" s="61">
        <v>-7</v>
      </c>
      <c r="Y41" s="61">
        <v>-7</v>
      </c>
      <c r="Z41" s="61">
        <v>-7</v>
      </c>
      <c r="AA41" s="61">
        <v>-7</v>
      </c>
      <c r="AB41" s="61">
        <v>-7</v>
      </c>
      <c r="AC41" s="61">
        <v>-7</v>
      </c>
      <c r="AD41" s="61">
        <v>-7</v>
      </c>
      <c r="AE41" s="61">
        <v>-7</v>
      </c>
      <c r="AF41" s="61">
        <v>-7</v>
      </c>
      <c r="AG41" s="61">
        <v>-7</v>
      </c>
      <c r="AH41" s="61">
        <v>-7</v>
      </c>
      <c r="AI41" s="61">
        <v>-7</v>
      </c>
      <c r="AJ41" s="61">
        <v>-7</v>
      </c>
      <c r="AK41" s="61">
        <v>-7</v>
      </c>
      <c r="AL41" s="61">
        <v>-7</v>
      </c>
      <c r="AM41" s="61">
        <v>-7</v>
      </c>
      <c r="AN41" s="61">
        <v>-7</v>
      </c>
      <c r="AO41" s="61">
        <v>-7</v>
      </c>
      <c r="AP41" s="61">
        <v>-7</v>
      </c>
      <c r="AQ41" s="61">
        <v>-7</v>
      </c>
      <c r="AR41" s="61">
        <v>-7</v>
      </c>
      <c r="AS41" s="61">
        <v>-7</v>
      </c>
      <c r="AT41" s="91">
        <v>-3</v>
      </c>
      <c r="AU41" s="91">
        <v>-4</v>
      </c>
      <c r="AV41" s="91">
        <v>-4</v>
      </c>
      <c r="AW41" s="91">
        <v>-3</v>
      </c>
      <c r="AX41" s="91">
        <v>-4</v>
      </c>
      <c r="AY41" s="91">
        <v>-4</v>
      </c>
      <c r="AZ41" s="91">
        <v>-4</v>
      </c>
      <c r="BA41" s="91">
        <v>-4</v>
      </c>
      <c r="BB41" s="91">
        <v>-4</v>
      </c>
      <c r="BC41" s="91">
        <v>-5</v>
      </c>
      <c r="BD41" s="91">
        <v>-2</v>
      </c>
      <c r="BE41" s="91">
        <v>-4</v>
      </c>
      <c r="BF41" s="91">
        <v>-4</v>
      </c>
      <c r="BG41" s="91">
        <v>-4</v>
      </c>
      <c r="BH41" s="91">
        <v>-4</v>
      </c>
      <c r="BI41" s="91">
        <v>-4</v>
      </c>
      <c r="BJ41" s="91">
        <v>-4</v>
      </c>
      <c r="BK41" s="91">
        <v>-3</v>
      </c>
      <c r="BL41" s="91">
        <v>-3</v>
      </c>
      <c r="BM41" s="91">
        <v>-5</v>
      </c>
      <c r="BN41" s="91">
        <v>-2</v>
      </c>
      <c r="BO41" s="91">
        <v>-5</v>
      </c>
      <c r="BP41" s="91">
        <v>-5</v>
      </c>
      <c r="BQ41" s="91">
        <v>-5</v>
      </c>
      <c r="BR41" s="91">
        <v>-5</v>
      </c>
      <c r="BS41" s="91">
        <v>-5</v>
      </c>
      <c r="BT41" s="91">
        <v>-5</v>
      </c>
    </row>
    <row r="42" spans="1:72" x14ac:dyDescent="0.2">
      <c r="B42" s="20" t="s">
        <v>3503</v>
      </c>
      <c r="C42" s="20">
        <f>VLOOKUP(Stats!$B$2,$B$44:$C$131,2,FALSE)</f>
        <v>29</v>
      </c>
      <c r="D42" s="64" t="s">
        <v>3504</v>
      </c>
      <c r="E42" s="64" t="s">
        <v>356</v>
      </c>
      <c r="G42" s="23">
        <v>8</v>
      </c>
      <c r="H42" s="61">
        <v>-6</v>
      </c>
      <c r="I42" s="61">
        <v>-6</v>
      </c>
      <c r="J42" s="61">
        <v>-6</v>
      </c>
      <c r="K42" s="61">
        <v>-6</v>
      </c>
      <c r="L42" s="61">
        <v>-6</v>
      </c>
      <c r="M42" s="61">
        <v>-6</v>
      </c>
      <c r="N42" s="61">
        <v>-6</v>
      </c>
      <c r="O42" s="61">
        <v>-6</v>
      </c>
      <c r="P42" s="61">
        <v>-6</v>
      </c>
      <c r="Q42" s="61">
        <v>-6</v>
      </c>
      <c r="R42" s="61">
        <v>-6</v>
      </c>
      <c r="S42" s="61">
        <v>-6</v>
      </c>
      <c r="T42" s="61">
        <v>-6</v>
      </c>
      <c r="U42" s="61">
        <v>-6</v>
      </c>
      <c r="V42" s="61">
        <v>-6</v>
      </c>
      <c r="W42" s="61">
        <v>-6</v>
      </c>
      <c r="X42" s="61">
        <v>-6</v>
      </c>
      <c r="Y42" s="61">
        <v>-6</v>
      </c>
      <c r="Z42" s="61">
        <v>-6</v>
      </c>
      <c r="AA42" s="61">
        <v>-6</v>
      </c>
      <c r="AB42" s="61">
        <v>-6</v>
      </c>
      <c r="AC42" s="61">
        <v>-6</v>
      </c>
      <c r="AD42" s="61">
        <v>-6</v>
      </c>
      <c r="AE42" s="61">
        <v>-6</v>
      </c>
      <c r="AF42" s="61">
        <v>-6</v>
      </c>
      <c r="AG42" s="61">
        <v>-6</v>
      </c>
      <c r="AH42" s="61">
        <v>-6</v>
      </c>
      <c r="AI42" s="61">
        <v>-6</v>
      </c>
      <c r="AJ42" s="61">
        <v>-6</v>
      </c>
      <c r="AK42" s="61">
        <v>-6</v>
      </c>
      <c r="AL42" s="61">
        <v>-6</v>
      </c>
      <c r="AM42" s="61">
        <v>-6</v>
      </c>
      <c r="AN42" s="61">
        <v>-6</v>
      </c>
      <c r="AO42" s="61">
        <v>-6</v>
      </c>
      <c r="AP42" s="61">
        <v>-6</v>
      </c>
      <c r="AQ42" s="61">
        <v>-6</v>
      </c>
      <c r="AR42" s="61">
        <v>-6</v>
      </c>
      <c r="AS42" s="61">
        <v>-6</v>
      </c>
      <c r="AT42" s="91">
        <v>-3</v>
      </c>
      <c r="AU42" s="91">
        <v>-4</v>
      </c>
      <c r="AV42" s="91">
        <v>-4</v>
      </c>
      <c r="AW42" s="91">
        <v>-3</v>
      </c>
      <c r="AX42" s="91">
        <v>-4</v>
      </c>
      <c r="AY42" s="91">
        <v>-4</v>
      </c>
      <c r="AZ42" s="91">
        <v>-4</v>
      </c>
      <c r="BA42" s="91">
        <v>-4</v>
      </c>
      <c r="BB42" s="91">
        <v>-4</v>
      </c>
      <c r="BC42" s="91">
        <v>-5</v>
      </c>
      <c r="BD42" s="91">
        <v>-2</v>
      </c>
      <c r="BE42" s="91">
        <v>-4</v>
      </c>
      <c r="BF42" s="91">
        <v>-4</v>
      </c>
      <c r="BG42" s="91">
        <v>-4</v>
      </c>
      <c r="BH42" s="91">
        <v>-4</v>
      </c>
      <c r="BI42" s="91">
        <v>-4</v>
      </c>
      <c r="BJ42" s="91">
        <v>-4</v>
      </c>
      <c r="BK42" s="91">
        <v>-3</v>
      </c>
      <c r="BL42" s="91">
        <v>-3</v>
      </c>
      <c r="BM42" s="91">
        <v>-5</v>
      </c>
      <c r="BN42" s="91">
        <v>-2</v>
      </c>
      <c r="BO42" s="91">
        <v>-5</v>
      </c>
      <c r="BP42" s="91">
        <v>-5</v>
      </c>
      <c r="BQ42" s="91">
        <v>-5</v>
      </c>
      <c r="BR42" s="91">
        <v>-5</v>
      </c>
      <c r="BS42" s="91">
        <v>-5</v>
      </c>
      <c r="BT42" s="91">
        <v>-5</v>
      </c>
    </row>
    <row r="43" spans="1:72" x14ac:dyDescent="0.2">
      <c r="A43" s="64" t="s">
        <v>3503</v>
      </c>
      <c r="B43" s="64" t="s">
        <v>3505</v>
      </c>
      <c r="C43" s="64" t="s">
        <v>3506</v>
      </c>
      <c r="D43" s="64" t="s">
        <v>356</v>
      </c>
      <c r="E43" s="64" t="s">
        <v>3507</v>
      </c>
      <c r="G43" s="23">
        <v>9</v>
      </c>
      <c r="H43" s="61">
        <v>-6</v>
      </c>
      <c r="I43" s="61">
        <v>-6</v>
      </c>
      <c r="J43" s="61">
        <v>-6</v>
      </c>
      <c r="K43" s="61">
        <v>-6</v>
      </c>
      <c r="L43" s="61">
        <v>-6</v>
      </c>
      <c r="M43" s="61">
        <v>-6</v>
      </c>
      <c r="N43" s="61">
        <v>-6</v>
      </c>
      <c r="O43" s="61">
        <v>-6</v>
      </c>
      <c r="P43" s="61">
        <v>-6</v>
      </c>
      <c r="Q43" s="61">
        <v>-6</v>
      </c>
      <c r="R43" s="61">
        <v>-6</v>
      </c>
      <c r="S43" s="61">
        <v>-6</v>
      </c>
      <c r="T43" s="61">
        <v>-6</v>
      </c>
      <c r="U43" s="61">
        <v>-6</v>
      </c>
      <c r="V43" s="61">
        <v>-6</v>
      </c>
      <c r="W43" s="61">
        <v>-6</v>
      </c>
      <c r="X43" s="61">
        <v>-6</v>
      </c>
      <c r="Y43" s="61">
        <v>-6</v>
      </c>
      <c r="Z43" s="61">
        <v>-6</v>
      </c>
      <c r="AA43" s="61">
        <v>-6</v>
      </c>
      <c r="AB43" s="61">
        <v>-6</v>
      </c>
      <c r="AC43" s="61">
        <v>-6</v>
      </c>
      <c r="AD43" s="61">
        <v>-6</v>
      </c>
      <c r="AE43" s="61">
        <v>-6</v>
      </c>
      <c r="AF43" s="61">
        <v>-6</v>
      </c>
      <c r="AG43" s="61">
        <v>-6</v>
      </c>
      <c r="AH43" s="61">
        <v>-6</v>
      </c>
      <c r="AI43" s="61">
        <v>-6</v>
      </c>
      <c r="AJ43" s="61">
        <v>-6</v>
      </c>
      <c r="AK43" s="61">
        <v>-6</v>
      </c>
      <c r="AL43" s="61">
        <v>-6</v>
      </c>
      <c r="AM43" s="61">
        <v>-6</v>
      </c>
      <c r="AN43" s="61">
        <v>-6</v>
      </c>
      <c r="AO43" s="61">
        <v>-6</v>
      </c>
      <c r="AP43" s="61">
        <v>-6</v>
      </c>
      <c r="AQ43" s="61">
        <v>-6</v>
      </c>
      <c r="AR43" s="61">
        <v>-6</v>
      </c>
      <c r="AS43" s="61">
        <v>-6</v>
      </c>
      <c r="AT43" s="91">
        <v>-3</v>
      </c>
      <c r="AU43" s="91">
        <v>-4</v>
      </c>
      <c r="AV43" s="91">
        <v>-4</v>
      </c>
      <c r="AW43" s="91">
        <v>-3</v>
      </c>
      <c r="AX43" s="91">
        <v>-4</v>
      </c>
      <c r="AY43" s="91">
        <v>-4</v>
      </c>
      <c r="AZ43" s="91">
        <v>-4</v>
      </c>
      <c r="BA43" s="91">
        <v>-4</v>
      </c>
      <c r="BB43" s="91">
        <v>-4</v>
      </c>
      <c r="BC43" s="91">
        <v>-5</v>
      </c>
      <c r="BD43" s="91">
        <v>-2</v>
      </c>
      <c r="BE43" s="91">
        <v>-4</v>
      </c>
      <c r="BF43" s="91">
        <v>-4</v>
      </c>
      <c r="BG43" s="91">
        <v>-4</v>
      </c>
      <c r="BH43" s="91">
        <v>-4</v>
      </c>
      <c r="BI43" s="91">
        <v>-4</v>
      </c>
      <c r="BJ43" s="91">
        <v>-4</v>
      </c>
      <c r="BK43" s="91">
        <v>-3</v>
      </c>
      <c r="BL43" s="91">
        <v>-3</v>
      </c>
      <c r="BM43" s="91">
        <v>-5</v>
      </c>
      <c r="BN43" s="91">
        <v>-2</v>
      </c>
      <c r="BO43" s="91">
        <v>-5</v>
      </c>
      <c r="BP43" s="91">
        <v>-5</v>
      </c>
      <c r="BQ43" s="91">
        <v>-5</v>
      </c>
      <c r="BR43" s="91">
        <v>-5</v>
      </c>
      <c r="BS43" s="91">
        <v>-5</v>
      </c>
      <c r="BT43" s="91">
        <v>-5</v>
      </c>
    </row>
    <row r="44" spans="1:72" x14ac:dyDescent="0.2">
      <c r="B44" s="77" t="s">
        <v>4050</v>
      </c>
      <c r="C44" s="12">
        <f>HLOOKUP(B44,$H$2:$BT$3,2,FALSE)</f>
        <v>2</v>
      </c>
      <c r="D44" s="42">
        <f>HLOOKUP(B44,$H$33:$BT$152,116,FALSE)</f>
        <v>39.103232533889468</v>
      </c>
      <c r="E44" s="42">
        <f>HLOOKUP(B44,$H$33:$BT$152,120,FALSE)</f>
        <v>0.99322210636078978</v>
      </c>
      <c r="G44" s="23">
        <v>10</v>
      </c>
      <c r="H44" s="61">
        <v>-6</v>
      </c>
      <c r="I44" s="61">
        <v>-6</v>
      </c>
      <c r="J44" s="61">
        <v>-6</v>
      </c>
      <c r="K44" s="61">
        <v>-6</v>
      </c>
      <c r="L44" s="61">
        <v>-6</v>
      </c>
      <c r="M44" s="61">
        <v>-6</v>
      </c>
      <c r="N44" s="61">
        <v>-6</v>
      </c>
      <c r="O44" s="61">
        <v>-6</v>
      </c>
      <c r="P44" s="61">
        <v>-6</v>
      </c>
      <c r="Q44" s="61">
        <v>-6</v>
      </c>
      <c r="R44" s="61">
        <v>-6</v>
      </c>
      <c r="S44" s="61">
        <v>-6</v>
      </c>
      <c r="T44" s="61">
        <v>-6</v>
      </c>
      <c r="U44" s="61">
        <v>-6</v>
      </c>
      <c r="V44" s="61">
        <v>-6</v>
      </c>
      <c r="W44" s="61">
        <v>-6</v>
      </c>
      <c r="X44" s="61">
        <v>-6</v>
      </c>
      <c r="Y44" s="61">
        <v>-6</v>
      </c>
      <c r="Z44" s="61">
        <v>-6</v>
      </c>
      <c r="AA44" s="61">
        <v>-6</v>
      </c>
      <c r="AB44" s="61">
        <v>-6</v>
      </c>
      <c r="AC44" s="61">
        <v>-6</v>
      </c>
      <c r="AD44" s="61">
        <v>-6</v>
      </c>
      <c r="AE44" s="61">
        <v>-6</v>
      </c>
      <c r="AF44" s="61">
        <v>-6</v>
      </c>
      <c r="AG44" s="61">
        <v>-6</v>
      </c>
      <c r="AH44" s="61">
        <v>-6</v>
      </c>
      <c r="AI44" s="61">
        <v>-6</v>
      </c>
      <c r="AJ44" s="61">
        <v>-6</v>
      </c>
      <c r="AK44" s="61">
        <v>-6</v>
      </c>
      <c r="AL44" s="61">
        <v>-6</v>
      </c>
      <c r="AM44" s="61">
        <v>-6</v>
      </c>
      <c r="AN44" s="61">
        <v>-6</v>
      </c>
      <c r="AO44" s="61">
        <v>-6</v>
      </c>
      <c r="AP44" s="61">
        <v>-6</v>
      </c>
      <c r="AQ44" s="61">
        <v>-6</v>
      </c>
      <c r="AR44" s="61">
        <v>-6</v>
      </c>
      <c r="AS44" s="61">
        <v>-6</v>
      </c>
      <c r="AT44" s="91">
        <v>-3</v>
      </c>
      <c r="AU44" s="91">
        <v>-4</v>
      </c>
      <c r="AV44" s="91">
        <v>-4</v>
      </c>
      <c r="AW44" s="91">
        <v>-3</v>
      </c>
      <c r="AX44" s="91">
        <v>-4</v>
      </c>
      <c r="AY44" s="91">
        <v>-4</v>
      </c>
      <c r="AZ44" s="91">
        <v>-4</v>
      </c>
      <c r="BA44" s="91">
        <v>-4</v>
      </c>
      <c r="BB44" s="91">
        <v>-4</v>
      </c>
      <c r="BC44" s="91">
        <v>-5</v>
      </c>
      <c r="BD44" s="91">
        <v>-2</v>
      </c>
      <c r="BE44" s="91">
        <v>-4</v>
      </c>
      <c r="BF44" s="91">
        <v>-4</v>
      </c>
      <c r="BG44" s="91">
        <v>-4</v>
      </c>
      <c r="BH44" s="91">
        <v>-4</v>
      </c>
      <c r="BI44" s="91">
        <v>-4</v>
      </c>
      <c r="BJ44" s="91">
        <v>-4</v>
      </c>
      <c r="BK44" s="91">
        <v>-3</v>
      </c>
      <c r="BL44" s="91">
        <v>-3</v>
      </c>
      <c r="BM44" s="91">
        <v>-5</v>
      </c>
      <c r="BN44" s="91">
        <v>-2</v>
      </c>
      <c r="BO44" s="91">
        <v>-5</v>
      </c>
      <c r="BP44" s="91">
        <v>-5</v>
      </c>
      <c r="BQ44" s="91">
        <v>-5</v>
      </c>
      <c r="BR44" s="91">
        <v>-5</v>
      </c>
      <c r="BS44" s="91">
        <v>-5</v>
      </c>
      <c r="BT44" s="91">
        <v>-5</v>
      </c>
    </row>
    <row r="45" spans="1:72" x14ac:dyDescent="0.2">
      <c r="B45" s="77" t="s">
        <v>4247</v>
      </c>
      <c r="C45" s="12">
        <f t="shared" ref="C45:C108" si="117">HLOOKUP(B45,$H$2:$BT$3,2,FALSE)</f>
        <v>3</v>
      </c>
      <c r="D45" s="42">
        <f t="shared" ref="D45:D108" si="118">HLOOKUP(B45,$H$33:$BT$152,116,FALSE)</f>
        <v>42.211328976034856</v>
      </c>
      <c r="E45" s="42">
        <f t="shared" ref="E45:E108" si="119">HLOOKUP(B45,$H$33:$BT$152,120,FALSE)</f>
        <v>1.0721677559912877</v>
      </c>
      <c r="G45" s="23">
        <v>11</v>
      </c>
      <c r="H45" s="61">
        <v>-5</v>
      </c>
      <c r="I45" s="61">
        <v>-5</v>
      </c>
      <c r="J45" s="61">
        <v>-5</v>
      </c>
      <c r="K45" s="61">
        <v>-5</v>
      </c>
      <c r="L45" s="61">
        <v>-5</v>
      </c>
      <c r="M45" s="61">
        <v>-5</v>
      </c>
      <c r="N45" s="61">
        <v>-5</v>
      </c>
      <c r="O45" s="61">
        <v>-5</v>
      </c>
      <c r="P45" s="61">
        <v>-5</v>
      </c>
      <c r="Q45" s="61">
        <v>-5</v>
      </c>
      <c r="R45" s="61">
        <v>-5</v>
      </c>
      <c r="S45" s="61">
        <v>-5</v>
      </c>
      <c r="T45" s="61">
        <v>-5</v>
      </c>
      <c r="U45" s="61">
        <v>-5</v>
      </c>
      <c r="V45" s="61">
        <v>-5</v>
      </c>
      <c r="W45" s="61">
        <v>-5</v>
      </c>
      <c r="X45" s="61">
        <v>-5</v>
      </c>
      <c r="Y45" s="61">
        <v>-5</v>
      </c>
      <c r="Z45" s="61">
        <v>-5</v>
      </c>
      <c r="AA45" s="61">
        <v>-5</v>
      </c>
      <c r="AB45" s="61">
        <v>-5</v>
      </c>
      <c r="AC45" s="61">
        <v>-5</v>
      </c>
      <c r="AD45" s="61">
        <v>-5</v>
      </c>
      <c r="AE45" s="61">
        <v>-5</v>
      </c>
      <c r="AF45" s="61">
        <v>-5</v>
      </c>
      <c r="AG45" s="61">
        <v>-5</v>
      </c>
      <c r="AH45" s="61">
        <v>-5</v>
      </c>
      <c r="AI45" s="61">
        <v>-5</v>
      </c>
      <c r="AJ45" s="61">
        <v>-5</v>
      </c>
      <c r="AK45" s="61">
        <v>-5</v>
      </c>
      <c r="AL45" s="61">
        <v>-5</v>
      </c>
      <c r="AM45" s="61">
        <v>-5</v>
      </c>
      <c r="AN45" s="61">
        <v>-5</v>
      </c>
      <c r="AO45" s="61">
        <v>-5</v>
      </c>
      <c r="AP45" s="61">
        <v>-5</v>
      </c>
      <c r="AQ45" s="61">
        <v>-5</v>
      </c>
      <c r="AR45" s="61">
        <v>-5</v>
      </c>
      <c r="AS45" s="61">
        <v>-5</v>
      </c>
      <c r="AT45" s="91">
        <v>-2</v>
      </c>
      <c r="AU45" s="91">
        <v>-4</v>
      </c>
      <c r="AV45" s="91">
        <v>-4</v>
      </c>
      <c r="AW45" s="91">
        <v>-2</v>
      </c>
      <c r="AX45" s="91">
        <v>-4</v>
      </c>
      <c r="AY45" s="91">
        <v>-4</v>
      </c>
      <c r="AZ45" s="91">
        <v>-4</v>
      </c>
      <c r="BA45" s="91">
        <v>-4</v>
      </c>
      <c r="BB45" s="91">
        <v>-4</v>
      </c>
      <c r="BC45" s="91">
        <v>-4</v>
      </c>
      <c r="BD45" s="91">
        <v>-2</v>
      </c>
      <c r="BE45" s="91">
        <v>-4</v>
      </c>
      <c r="BF45" s="91">
        <v>-4</v>
      </c>
      <c r="BG45" s="91">
        <v>-4</v>
      </c>
      <c r="BH45" s="91">
        <v>-4</v>
      </c>
      <c r="BI45" s="91">
        <v>-4</v>
      </c>
      <c r="BJ45" s="91">
        <v>-4</v>
      </c>
      <c r="BK45" s="91">
        <v>-2</v>
      </c>
      <c r="BL45" s="91">
        <v>-2</v>
      </c>
      <c r="BM45" s="91">
        <v>-4</v>
      </c>
      <c r="BN45" s="91">
        <v>-2</v>
      </c>
      <c r="BO45" s="91">
        <v>-4</v>
      </c>
      <c r="BP45" s="91">
        <v>-4</v>
      </c>
      <c r="BQ45" s="91">
        <v>-4</v>
      </c>
      <c r="BR45" s="91">
        <v>-4</v>
      </c>
      <c r="BS45" s="91">
        <v>-4</v>
      </c>
      <c r="BT45" s="91">
        <v>-4</v>
      </c>
    </row>
    <row r="46" spans="1:72" x14ac:dyDescent="0.2">
      <c r="B46" s="77" t="s">
        <v>4064</v>
      </c>
      <c r="C46" s="12">
        <f t="shared" si="117"/>
        <v>4</v>
      </c>
      <c r="D46" s="42">
        <f t="shared" si="118"/>
        <v>47.557538750587128</v>
      </c>
      <c r="E46" s="42">
        <f t="shared" si="119"/>
        <v>1.2079614842649136</v>
      </c>
      <c r="G46" s="23">
        <v>12</v>
      </c>
      <c r="H46" s="61">
        <v>-5</v>
      </c>
      <c r="I46" s="61">
        <v>-5</v>
      </c>
      <c r="J46" s="61">
        <v>-5</v>
      </c>
      <c r="K46" s="61">
        <v>-5</v>
      </c>
      <c r="L46" s="61">
        <v>-5</v>
      </c>
      <c r="M46" s="61">
        <v>-5</v>
      </c>
      <c r="N46" s="61">
        <v>-5</v>
      </c>
      <c r="O46" s="61">
        <v>-5</v>
      </c>
      <c r="P46" s="61">
        <v>-5</v>
      </c>
      <c r="Q46" s="61">
        <v>-5</v>
      </c>
      <c r="R46" s="61">
        <v>-5</v>
      </c>
      <c r="S46" s="61">
        <v>-5</v>
      </c>
      <c r="T46" s="61">
        <v>-5</v>
      </c>
      <c r="U46" s="61">
        <v>-5</v>
      </c>
      <c r="V46" s="61">
        <v>-5</v>
      </c>
      <c r="W46" s="61">
        <v>-5</v>
      </c>
      <c r="X46" s="61">
        <v>-5</v>
      </c>
      <c r="Y46" s="61">
        <v>-5</v>
      </c>
      <c r="Z46" s="61">
        <v>-5</v>
      </c>
      <c r="AA46" s="61">
        <v>-5</v>
      </c>
      <c r="AB46" s="61">
        <v>-5</v>
      </c>
      <c r="AC46" s="61">
        <v>-5</v>
      </c>
      <c r="AD46" s="61">
        <v>-5</v>
      </c>
      <c r="AE46" s="61">
        <v>-5</v>
      </c>
      <c r="AF46" s="61">
        <v>-5</v>
      </c>
      <c r="AG46" s="61">
        <v>-5</v>
      </c>
      <c r="AH46" s="61">
        <v>-5</v>
      </c>
      <c r="AI46" s="61">
        <v>-5</v>
      </c>
      <c r="AJ46" s="61">
        <v>-5</v>
      </c>
      <c r="AK46" s="61">
        <v>-5</v>
      </c>
      <c r="AL46" s="61">
        <v>-5</v>
      </c>
      <c r="AM46" s="61">
        <v>-5</v>
      </c>
      <c r="AN46" s="61">
        <v>-5</v>
      </c>
      <c r="AO46" s="61">
        <v>-5</v>
      </c>
      <c r="AP46" s="61">
        <v>-5</v>
      </c>
      <c r="AQ46" s="61">
        <v>-5</v>
      </c>
      <c r="AR46" s="61">
        <v>-5</v>
      </c>
      <c r="AS46" s="61">
        <v>-5</v>
      </c>
      <c r="AT46" s="91">
        <v>-2</v>
      </c>
      <c r="AU46" s="91">
        <v>-3</v>
      </c>
      <c r="AV46" s="91">
        <v>-3</v>
      </c>
      <c r="AW46" s="91">
        <v>-2</v>
      </c>
      <c r="AX46" s="91">
        <v>-3</v>
      </c>
      <c r="AY46" s="91">
        <v>-3</v>
      </c>
      <c r="AZ46" s="91">
        <v>-3</v>
      </c>
      <c r="BA46" s="91">
        <v>-3</v>
      </c>
      <c r="BB46" s="91">
        <v>-3</v>
      </c>
      <c r="BC46" s="91">
        <v>-4</v>
      </c>
      <c r="BD46" s="91">
        <v>-2</v>
      </c>
      <c r="BE46" s="91">
        <v>-3</v>
      </c>
      <c r="BF46" s="91">
        <v>-3</v>
      </c>
      <c r="BG46" s="91">
        <v>-3</v>
      </c>
      <c r="BH46" s="91">
        <v>-3</v>
      </c>
      <c r="BI46" s="91">
        <v>-3</v>
      </c>
      <c r="BJ46" s="91">
        <v>-3</v>
      </c>
      <c r="BK46" s="91">
        <v>-2</v>
      </c>
      <c r="BL46" s="91">
        <v>-2</v>
      </c>
      <c r="BM46" s="91">
        <v>-4</v>
      </c>
      <c r="BN46" s="91">
        <v>-2</v>
      </c>
      <c r="BO46" s="91">
        <v>-4</v>
      </c>
      <c r="BP46" s="91">
        <v>-4</v>
      </c>
      <c r="BQ46" s="91">
        <v>-4</v>
      </c>
      <c r="BR46" s="91">
        <v>-4</v>
      </c>
      <c r="BS46" s="91">
        <v>-4</v>
      </c>
      <c r="BT46" s="91">
        <v>-4</v>
      </c>
    </row>
    <row r="47" spans="1:72" x14ac:dyDescent="0.2">
      <c r="B47" s="77" t="s">
        <v>4056</v>
      </c>
      <c r="C47" s="12">
        <f t="shared" si="117"/>
        <v>5</v>
      </c>
      <c r="D47" s="42">
        <f t="shared" si="118"/>
        <v>46.936464417689834</v>
      </c>
      <c r="E47" s="42">
        <f t="shared" si="119"/>
        <v>1.1921861962093203</v>
      </c>
      <c r="G47" s="23">
        <v>13</v>
      </c>
      <c r="H47" s="61">
        <v>-5</v>
      </c>
      <c r="I47" s="61">
        <v>-5</v>
      </c>
      <c r="J47" s="61">
        <v>-5</v>
      </c>
      <c r="K47" s="61">
        <v>-5</v>
      </c>
      <c r="L47" s="61">
        <v>-5</v>
      </c>
      <c r="M47" s="61">
        <v>-5</v>
      </c>
      <c r="N47" s="61">
        <v>-5</v>
      </c>
      <c r="O47" s="61">
        <v>-5</v>
      </c>
      <c r="P47" s="61">
        <v>-5</v>
      </c>
      <c r="Q47" s="61">
        <v>-5</v>
      </c>
      <c r="R47" s="61">
        <v>-5</v>
      </c>
      <c r="S47" s="61">
        <v>-5</v>
      </c>
      <c r="T47" s="61">
        <v>-5</v>
      </c>
      <c r="U47" s="61">
        <v>-5</v>
      </c>
      <c r="V47" s="61">
        <v>-5</v>
      </c>
      <c r="W47" s="61">
        <v>-5</v>
      </c>
      <c r="X47" s="61">
        <v>-5</v>
      </c>
      <c r="Y47" s="61">
        <v>-5</v>
      </c>
      <c r="Z47" s="61">
        <v>-5</v>
      </c>
      <c r="AA47" s="61">
        <v>-5</v>
      </c>
      <c r="AB47" s="61">
        <v>-5</v>
      </c>
      <c r="AC47" s="61">
        <v>-5</v>
      </c>
      <c r="AD47" s="61">
        <v>-5</v>
      </c>
      <c r="AE47" s="61">
        <v>-5</v>
      </c>
      <c r="AF47" s="61">
        <v>-5</v>
      </c>
      <c r="AG47" s="61">
        <v>-5</v>
      </c>
      <c r="AH47" s="61">
        <v>-5</v>
      </c>
      <c r="AI47" s="61">
        <v>-5</v>
      </c>
      <c r="AJ47" s="61">
        <v>-5</v>
      </c>
      <c r="AK47" s="61">
        <v>-5</v>
      </c>
      <c r="AL47" s="61">
        <v>-5</v>
      </c>
      <c r="AM47" s="61">
        <v>-5</v>
      </c>
      <c r="AN47" s="61">
        <v>-5</v>
      </c>
      <c r="AO47" s="61">
        <v>-5</v>
      </c>
      <c r="AP47" s="61">
        <v>-5</v>
      </c>
      <c r="AQ47" s="61">
        <v>-5</v>
      </c>
      <c r="AR47" s="61">
        <v>-5</v>
      </c>
      <c r="AS47" s="61">
        <v>-5</v>
      </c>
      <c r="AT47" s="91">
        <v>-2</v>
      </c>
      <c r="AU47" s="91">
        <v>-3</v>
      </c>
      <c r="AV47" s="91">
        <v>-3</v>
      </c>
      <c r="AW47" s="91">
        <v>-2</v>
      </c>
      <c r="AX47" s="91">
        <v>-3</v>
      </c>
      <c r="AY47" s="91">
        <v>-3</v>
      </c>
      <c r="AZ47" s="91">
        <v>-3</v>
      </c>
      <c r="BA47" s="91">
        <v>-3</v>
      </c>
      <c r="BB47" s="91">
        <v>-3</v>
      </c>
      <c r="BC47" s="91">
        <v>-4</v>
      </c>
      <c r="BD47" s="91">
        <v>-1</v>
      </c>
      <c r="BE47" s="91">
        <v>-3</v>
      </c>
      <c r="BF47" s="91">
        <v>-3</v>
      </c>
      <c r="BG47" s="91">
        <v>-3</v>
      </c>
      <c r="BH47" s="91">
        <v>-3</v>
      </c>
      <c r="BI47" s="91">
        <v>-3</v>
      </c>
      <c r="BJ47" s="91">
        <v>-3</v>
      </c>
      <c r="BK47" s="91">
        <v>-2</v>
      </c>
      <c r="BL47" s="91">
        <v>-2</v>
      </c>
      <c r="BM47" s="91">
        <v>-4</v>
      </c>
      <c r="BN47" s="91">
        <v>-1</v>
      </c>
      <c r="BO47" s="91">
        <v>-4</v>
      </c>
      <c r="BP47" s="91">
        <v>-4</v>
      </c>
      <c r="BQ47" s="91">
        <v>-4</v>
      </c>
      <c r="BR47" s="91">
        <v>-4</v>
      </c>
      <c r="BS47" s="91">
        <v>-4</v>
      </c>
      <c r="BT47" s="91">
        <v>-4</v>
      </c>
    </row>
    <row r="48" spans="1:72" x14ac:dyDescent="0.2">
      <c r="B48" s="77" t="s">
        <v>4057</v>
      </c>
      <c r="C48" s="12">
        <f t="shared" si="117"/>
        <v>6</v>
      </c>
      <c r="D48" s="42">
        <f t="shared" si="118"/>
        <v>46.272158498435871</v>
      </c>
      <c r="E48" s="42">
        <f t="shared" si="119"/>
        <v>1.1753128258602743</v>
      </c>
      <c r="G48" s="23">
        <v>14</v>
      </c>
      <c r="H48" s="61">
        <v>-5</v>
      </c>
      <c r="I48" s="61">
        <v>-5</v>
      </c>
      <c r="J48" s="61">
        <v>-5</v>
      </c>
      <c r="K48" s="61">
        <v>-5</v>
      </c>
      <c r="L48" s="61">
        <v>-5</v>
      </c>
      <c r="M48" s="61">
        <v>-5</v>
      </c>
      <c r="N48" s="61">
        <v>-5</v>
      </c>
      <c r="O48" s="61">
        <v>-5</v>
      </c>
      <c r="P48" s="61">
        <v>-5</v>
      </c>
      <c r="Q48" s="61">
        <v>-5</v>
      </c>
      <c r="R48" s="61">
        <v>-5</v>
      </c>
      <c r="S48" s="61">
        <v>-5</v>
      </c>
      <c r="T48" s="61">
        <v>-5</v>
      </c>
      <c r="U48" s="61">
        <v>-5</v>
      </c>
      <c r="V48" s="61">
        <v>-5</v>
      </c>
      <c r="W48" s="61">
        <v>-5</v>
      </c>
      <c r="X48" s="61">
        <v>-5</v>
      </c>
      <c r="Y48" s="61">
        <v>-5</v>
      </c>
      <c r="Z48" s="61">
        <v>-5</v>
      </c>
      <c r="AA48" s="61">
        <v>-5</v>
      </c>
      <c r="AB48" s="61">
        <v>-5</v>
      </c>
      <c r="AC48" s="61">
        <v>-5</v>
      </c>
      <c r="AD48" s="61">
        <v>-5</v>
      </c>
      <c r="AE48" s="61">
        <v>-5</v>
      </c>
      <c r="AF48" s="61">
        <v>-5</v>
      </c>
      <c r="AG48" s="61">
        <v>-5</v>
      </c>
      <c r="AH48" s="61">
        <v>-5</v>
      </c>
      <c r="AI48" s="61">
        <v>-5</v>
      </c>
      <c r="AJ48" s="61">
        <v>-5</v>
      </c>
      <c r="AK48" s="61">
        <v>-5</v>
      </c>
      <c r="AL48" s="61">
        <v>-5</v>
      </c>
      <c r="AM48" s="61">
        <v>-5</v>
      </c>
      <c r="AN48" s="61">
        <v>-5</v>
      </c>
      <c r="AO48" s="61">
        <v>-5</v>
      </c>
      <c r="AP48" s="61">
        <v>-5</v>
      </c>
      <c r="AQ48" s="61">
        <v>-5</v>
      </c>
      <c r="AR48" s="61">
        <v>-5</v>
      </c>
      <c r="AS48" s="61">
        <v>-5</v>
      </c>
      <c r="AT48" s="91">
        <v>-2</v>
      </c>
      <c r="AU48" s="91">
        <v>-3</v>
      </c>
      <c r="AV48" s="91">
        <v>-3</v>
      </c>
      <c r="AW48" s="91">
        <v>-2</v>
      </c>
      <c r="AX48" s="91">
        <v>-3</v>
      </c>
      <c r="AY48" s="91">
        <v>-3</v>
      </c>
      <c r="AZ48" s="91">
        <v>-3</v>
      </c>
      <c r="BA48" s="91">
        <v>-3</v>
      </c>
      <c r="BB48" s="91">
        <v>-3</v>
      </c>
      <c r="BC48" s="91">
        <v>-4</v>
      </c>
      <c r="BD48" s="91">
        <v>-1</v>
      </c>
      <c r="BE48" s="91">
        <v>-3</v>
      </c>
      <c r="BF48" s="91">
        <v>-3</v>
      </c>
      <c r="BG48" s="91">
        <v>-3</v>
      </c>
      <c r="BH48" s="91">
        <v>-3</v>
      </c>
      <c r="BI48" s="91">
        <v>-3</v>
      </c>
      <c r="BJ48" s="91">
        <v>-3</v>
      </c>
      <c r="BK48" s="91">
        <v>-2</v>
      </c>
      <c r="BL48" s="91">
        <v>-2</v>
      </c>
      <c r="BM48" s="91">
        <v>-4</v>
      </c>
      <c r="BN48" s="91">
        <v>-1</v>
      </c>
      <c r="BO48" s="91">
        <v>-4</v>
      </c>
      <c r="BP48" s="91">
        <v>-4</v>
      </c>
      <c r="BQ48" s="91">
        <v>-4</v>
      </c>
      <c r="BR48" s="91">
        <v>-4</v>
      </c>
      <c r="BS48" s="91">
        <v>-4</v>
      </c>
      <c r="BT48" s="91">
        <v>-4</v>
      </c>
    </row>
    <row r="49" spans="2:72" x14ac:dyDescent="0.2">
      <c r="B49" s="77" t="s">
        <v>894</v>
      </c>
      <c r="C49" s="12">
        <f t="shared" si="117"/>
        <v>7</v>
      </c>
      <c r="D49" s="42">
        <f t="shared" si="118"/>
        <v>62.78508183525625</v>
      </c>
      <c r="E49" s="42">
        <f t="shared" si="119"/>
        <v>1.5947410786155132</v>
      </c>
      <c r="G49" s="23">
        <v>15</v>
      </c>
      <c r="H49" s="61">
        <v>-4</v>
      </c>
      <c r="I49" s="61">
        <v>-4</v>
      </c>
      <c r="J49" s="61">
        <v>-4</v>
      </c>
      <c r="K49" s="61">
        <v>-4</v>
      </c>
      <c r="L49" s="61">
        <v>-4</v>
      </c>
      <c r="M49" s="61">
        <v>-4</v>
      </c>
      <c r="N49" s="61">
        <v>-4</v>
      </c>
      <c r="O49" s="61">
        <v>-4</v>
      </c>
      <c r="P49" s="61">
        <v>-4</v>
      </c>
      <c r="Q49" s="61">
        <v>-4</v>
      </c>
      <c r="R49" s="61">
        <v>-4</v>
      </c>
      <c r="S49" s="61">
        <v>-4</v>
      </c>
      <c r="T49" s="61">
        <v>-4</v>
      </c>
      <c r="U49" s="61">
        <v>-4</v>
      </c>
      <c r="V49" s="61">
        <v>-4</v>
      </c>
      <c r="W49" s="61">
        <v>-4</v>
      </c>
      <c r="X49" s="61">
        <v>-4</v>
      </c>
      <c r="Y49" s="61">
        <v>-4</v>
      </c>
      <c r="Z49" s="61">
        <v>-4</v>
      </c>
      <c r="AA49" s="61">
        <v>-4</v>
      </c>
      <c r="AB49" s="61">
        <v>-4</v>
      </c>
      <c r="AC49" s="61">
        <v>-4</v>
      </c>
      <c r="AD49" s="61">
        <v>-4</v>
      </c>
      <c r="AE49" s="61">
        <v>-4</v>
      </c>
      <c r="AF49" s="61">
        <v>-4</v>
      </c>
      <c r="AG49" s="61">
        <v>-4</v>
      </c>
      <c r="AH49" s="61">
        <v>-4</v>
      </c>
      <c r="AI49" s="61">
        <v>-4</v>
      </c>
      <c r="AJ49" s="61">
        <v>-4</v>
      </c>
      <c r="AK49" s="61">
        <v>-4</v>
      </c>
      <c r="AL49" s="61">
        <v>-4</v>
      </c>
      <c r="AM49" s="61">
        <v>-4</v>
      </c>
      <c r="AN49" s="61">
        <v>-4</v>
      </c>
      <c r="AO49" s="61">
        <v>-4</v>
      </c>
      <c r="AP49" s="61">
        <v>-4</v>
      </c>
      <c r="AQ49" s="61">
        <v>-4</v>
      </c>
      <c r="AR49" s="61">
        <v>-4</v>
      </c>
      <c r="AS49" s="61">
        <v>-4</v>
      </c>
      <c r="AT49" s="91">
        <v>-2</v>
      </c>
      <c r="AU49" s="91">
        <v>-3</v>
      </c>
      <c r="AV49" s="91">
        <v>-3</v>
      </c>
      <c r="AW49" s="91">
        <v>-2</v>
      </c>
      <c r="AX49" s="91">
        <v>-3</v>
      </c>
      <c r="AY49" s="91">
        <v>-3</v>
      </c>
      <c r="AZ49" s="91">
        <v>-3</v>
      </c>
      <c r="BA49" s="91">
        <v>-3</v>
      </c>
      <c r="BB49" s="91">
        <v>-3</v>
      </c>
      <c r="BC49" s="91">
        <v>-4</v>
      </c>
      <c r="BD49" s="91">
        <v>-1</v>
      </c>
      <c r="BE49" s="91">
        <v>-3</v>
      </c>
      <c r="BF49" s="91">
        <v>-3</v>
      </c>
      <c r="BG49" s="91">
        <v>-3</v>
      </c>
      <c r="BH49" s="91">
        <v>-3</v>
      </c>
      <c r="BI49" s="91">
        <v>-3</v>
      </c>
      <c r="BJ49" s="91">
        <v>-3</v>
      </c>
      <c r="BK49" s="91">
        <v>-2</v>
      </c>
      <c r="BL49" s="91">
        <v>-2</v>
      </c>
      <c r="BM49" s="91">
        <v>-4</v>
      </c>
      <c r="BN49" s="91">
        <v>-1</v>
      </c>
      <c r="BO49" s="91">
        <v>-4</v>
      </c>
      <c r="BP49" s="91">
        <v>-4</v>
      </c>
      <c r="BQ49" s="91">
        <v>-4</v>
      </c>
      <c r="BR49" s="91">
        <v>-4</v>
      </c>
      <c r="BS49" s="91">
        <v>-4</v>
      </c>
      <c r="BT49" s="91">
        <v>-4</v>
      </c>
    </row>
    <row r="50" spans="2:72" x14ac:dyDescent="0.2">
      <c r="B50" s="77" t="s">
        <v>4063</v>
      </c>
      <c r="C50" s="12">
        <f t="shared" si="117"/>
        <v>8</v>
      </c>
      <c r="D50" s="42">
        <f t="shared" si="118"/>
        <v>44.9154532644434</v>
      </c>
      <c r="E50" s="42">
        <f t="shared" si="119"/>
        <v>1.1408525129168652</v>
      </c>
      <c r="G50" s="23">
        <v>16</v>
      </c>
      <c r="H50" s="61">
        <v>-4</v>
      </c>
      <c r="I50" s="61">
        <v>-4</v>
      </c>
      <c r="J50" s="61">
        <v>-4</v>
      </c>
      <c r="K50" s="61">
        <v>-4</v>
      </c>
      <c r="L50" s="61">
        <v>-4</v>
      </c>
      <c r="M50" s="61">
        <v>-4</v>
      </c>
      <c r="N50" s="61">
        <v>-4</v>
      </c>
      <c r="O50" s="61">
        <v>-4</v>
      </c>
      <c r="P50" s="61">
        <v>-4</v>
      </c>
      <c r="Q50" s="61">
        <v>-4</v>
      </c>
      <c r="R50" s="61">
        <v>-4</v>
      </c>
      <c r="S50" s="61">
        <v>-4</v>
      </c>
      <c r="T50" s="61">
        <v>-4</v>
      </c>
      <c r="U50" s="61">
        <v>-4</v>
      </c>
      <c r="V50" s="61">
        <v>-4</v>
      </c>
      <c r="W50" s="61">
        <v>-4</v>
      </c>
      <c r="X50" s="61">
        <v>-4</v>
      </c>
      <c r="Y50" s="61">
        <v>-4</v>
      </c>
      <c r="Z50" s="61">
        <v>-4</v>
      </c>
      <c r="AA50" s="61">
        <v>-4</v>
      </c>
      <c r="AB50" s="61">
        <v>-4</v>
      </c>
      <c r="AC50" s="61">
        <v>-4</v>
      </c>
      <c r="AD50" s="61">
        <v>-4</v>
      </c>
      <c r="AE50" s="61">
        <v>-4</v>
      </c>
      <c r="AF50" s="61">
        <v>-4</v>
      </c>
      <c r="AG50" s="61">
        <v>-4</v>
      </c>
      <c r="AH50" s="61">
        <v>-4</v>
      </c>
      <c r="AI50" s="61">
        <v>-4</v>
      </c>
      <c r="AJ50" s="61">
        <v>-4</v>
      </c>
      <c r="AK50" s="61">
        <v>-4</v>
      </c>
      <c r="AL50" s="61">
        <v>-4</v>
      </c>
      <c r="AM50" s="61">
        <v>-4</v>
      </c>
      <c r="AN50" s="61">
        <v>-4</v>
      </c>
      <c r="AO50" s="61">
        <v>-4</v>
      </c>
      <c r="AP50" s="61">
        <v>-4</v>
      </c>
      <c r="AQ50" s="61">
        <v>-4</v>
      </c>
      <c r="AR50" s="61">
        <v>-4</v>
      </c>
      <c r="AS50" s="61">
        <v>-4</v>
      </c>
      <c r="AT50" s="91">
        <v>-2</v>
      </c>
      <c r="AU50" s="91">
        <v>-3</v>
      </c>
      <c r="AV50" s="91">
        <v>-3</v>
      </c>
      <c r="AW50" s="91">
        <v>-2</v>
      </c>
      <c r="AX50" s="91">
        <v>-3</v>
      </c>
      <c r="AY50" s="91">
        <v>-3</v>
      </c>
      <c r="AZ50" s="91">
        <v>-3</v>
      </c>
      <c r="BA50" s="91">
        <v>-3</v>
      </c>
      <c r="BB50" s="91">
        <v>-3</v>
      </c>
      <c r="BC50" s="91">
        <v>-4</v>
      </c>
      <c r="BD50" s="91">
        <v>-1</v>
      </c>
      <c r="BE50" s="91">
        <v>-3</v>
      </c>
      <c r="BF50" s="91">
        <v>-3</v>
      </c>
      <c r="BG50" s="91">
        <v>-3</v>
      </c>
      <c r="BH50" s="91">
        <v>-3</v>
      </c>
      <c r="BI50" s="91">
        <v>-3</v>
      </c>
      <c r="BJ50" s="91">
        <v>-3</v>
      </c>
      <c r="BK50" s="91">
        <v>-2</v>
      </c>
      <c r="BL50" s="91">
        <v>-2</v>
      </c>
      <c r="BM50" s="91">
        <v>-4</v>
      </c>
      <c r="BN50" s="91">
        <v>-1</v>
      </c>
      <c r="BO50" s="91">
        <v>-4</v>
      </c>
      <c r="BP50" s="91">
        <v>-4</v>
      </c>
      <c r="BQ50" s="91">
        <v>-4</v>
      </c>
      <c r="BR50" s="91">
        <v>-4</v>
      </c>
      <c r="BS50" s="91">
        <v>-4</v>
      </c>
      <c r="BT50" s="91">
        <v>-4</v>
      </c>
    </row>
    <row r="51" spans="2:72" x14ac:dyDescent="0.2">
      <c r="B51" s="77" t="s">
        <v>4052</v>
      </c>
      <c r="C51" s="12">
        <f t="shared" si="117"/>
        <v>9</v>
      </c>
      <c r="D51" s="42">
        <f t="shared" si="118"/>
        <v>19.591272280270438</v>
      </c>
      <c r="E51" s="42">
        <f t="shared" si="119"/>
        <v>0.49761831591887074</v>
      </c>
      <c r="G51" s="23">
        <v>17</v>
      </c>
      <c r="H51" s="61">
        <v>-4</v>
      </c>
      <c r="I51" s="61">
        <v>-4</v>
      </c>
      <c r="J51" s="61">
        <v>-4</v>
      </c>
      <c r="K51" s="61">
        <v>-4</v>
      </c>
      <c r="L51" s="61">
        <v>-4</v>
      </c>
      <c r="M51" s="61">
        <v>-4</v>
      </c>
      <c r="N51" s="61">
        <v>-4</v>
      </c>
      <c r="O51" s="61">
        <v>-4</v>
      </c>
      <c r="P51" s="61">
        <v>-4</v>
      </c>
      <c r="Q51" s="61">
        <v>-4</v>
      </c>
      <c r="R51" s="61">
        <v>-4</v>
      </c>
      <c r="S51" s="61">
        <v>-4</v>
      </c>
      <c r="T51" s="61">
        <v>-4</v>
      </c>
      <c r="U51" s="61">
        <v>-4</v>
      </c>
      <c r="V51" s="61">
        <v>-4</v>
      </c>
      <c r="W51" s="61">
        <v>-4</v>
      </c>
      <c r="X51" s="61">
        <v>-4</v>
      </c>
      <c r="Y51" s="61">
        <v>-4</v>
      </c>
      <c r="Z51" s="61">
        <v>-4</v>
      </c>
      <c r="AA51" s="61">
        <v>-4</v>
      </c>
      <c r="AB51" s="61">
        <v>-4</v>
      </c>
      <c r="AC51" s="61">
        <v>-4</v>
      </c>
      <c r="AD51" s="61">
        <v>-4</v>
      </c>
      <c r="AE51" s="61">
        <v>-4</v>
      </c>
      <c r="AF51" s="61">
        <v>-4</v>
      </c>
      <c r="AG51" s="61">
        <v>-4</v>
      </c>
      <c r="AH51" s="61">
        <v>-4</v>
      </c>
      <c r="AI51" s="61">
        <v>-4</v>
      </c>
      <c r="AJ51" s="61">
        <v>-4</v>
      </c>
      <c r="AK51" s="61">
        <v>-4</v>
      </c>
      <c r="AL51" s="61">
        <v>-4</v>
      </c>
      <c r="AM51" s="61">
        <v>-4</v>
      </c>
      <c r="AN51" s="61">
        <v>-4</v>
      </c>
      <c r="AO51" s="61">
        <v>-4</v>
      </c>
      <c r="AP51" s="61">
        <v>-4</v>
      </c>
      <c r="AQ51" s="61">
        <v>-4</v>
      </c>
      <c r="AR51" s="61">
        <v>-4</v>
      </c>
      <c r="AS51" s="61">
        <v>-4</v>
      </c>
      <c r="AT51" s="91">
        <v>-2</v>
      </c>
      <c r="AU51" s="91">
        <v>-3</v>
      </c>
      <c r="AV51" s="91">
        <v>-3</v>
      </c>
      <c r="AW51" s="91">
        <v>-2</v>
      </c>
      <c r="AX51" s="91">
        <v>-3</v>
      </c>
      <c r="AY51" s="91">
        <v>-3</v>
      </c>
      <c r="AZ51" s="91">
        <v>-3</v>
      </c>
      <c r="BA51" s="91">
        <v>-3</v>
      </c>
      <c r="BB51" s="91">
        <v>-3</v>
      </c>
      <c r="BC51" s="91">
        <v>-4</v>
      </c>
      <c r="BD51" s="91">
        <v>-1</v>
      </c>
      <c r="BE51" s="91">
        <v>-3</v>
      </c>
      <c r="BF51" s="91">
        <v>-3</v>
      </c>
      <c r="BG51" s="91">
        <v>-3</v>
      </c>
      <c r="BH51" s="91">
        <v>-3</v>
      </c>
      <c r="BI51" s="91">
        <v>-3</v>
      </c>
      <c r="BJ51" s="91">
        <v>-3</v>
      </c>
      <c r="BK51" s="91">
        <v>-2</v>
      </c>
      <c r="BL51" s="91">
        <v>-2</v>
      </c>
      <c r="BM51" s="91">
        <v>-4</v>
      </c>
      <c r="BN51" s="91">
        <v>-1</v>
      </c>
      <c r="BO51" s="91">
        <v>-4</v>
      </c>
      <c r="BP51" s="91">
        <v>-4</v>
      </c>
      <c r="BQ51" s="91">
        <v>-4</v>
      </c>
      <c r="BR51" s="91">
        <v>-4</v>
      </c>
      <c r="BS51" s="91">
        <v>-4</v>
      </c>
      <c r="BT51" s="91">
        <v>-4</v>
      </c>
    </row>
    <row r="52" spans="2:72" x14ac:dyDescent="0.2">
      <c r="B52" s="77" t="s">
        <v>4062</v>
      </c>
      <c r="C52" s="12">
        <f t="shared" si="117"/>
        <v>10</v>
      </c>
      <c r="D52" s="42">
        <f t="shared" si="118"/>
        <v>63.051375194603018</v>
      </c>
      <c r="E52" s="42">
        <f t="shared" si="119"/>
        <v>1.6015049299429336</v>
      </c>
      <c r="G52" s="23">
        <v>18</v>
      </c>
      <c r="H52" s="61">
        <v>-4</v>
      </c>
      <c r="I52" s="61">
        <v>-4</v>
      </c>
      <c r="J52" s="61">
        <v>-4</v>
      </c>
      <c r="K52" s="61">
        <v>-4</v>
      </c>
      <c r="L52" s="61">
        <v>-4</v>
      </c>
      <c r="M52" s="61">
        <v>-4</v>
      </c>
      <c r="N52" s="61">
        <v>-4</v>
      </c>
      <c r="O52" s="61">
        <v>-4</v>
      </c>
      <c r="P52" s="61">
        <v>-4</v>
      </c>
      <c r="Q52" s="61">
        <v>-4</v>
      </c>
      <c r="R52" s="61">
        <v>-4</v>
      </c>
      <c r="S52" s="61">
        <v>-4</v>
      </c>
      <c r="T52" s="61">
        <v>-4</v>
      </c>
      <c r="U52" s="61">
        <v>-4</v>
      </c>
      <c r="V52" s="61">
        <v>-4</v>
      </c>
      <c r="W52" s="61">
        <v>-4</v>
      </c>
      <c r="X52" s="61">
        <v>-4</v>
      </c>
      <c r="Y52" s="61">
        <v>-4</v>
      </c>
      <c r="Z52" s="61">
        <v>-4</v>
      </c>
      <c r="AA52" s="61">
        <v>-4</v>
      </c>
      <c r="AB52" s="61">
        <v>-4</v>
      </c>
      <c r="AC52" s="61">
        <v>-4</v>
      </c>
      <c r="AD52" s="61">
        <v>-4</v>
      </c>
      <c r="AE52" s="61">
        <v>-4</v>
      </c>
      <c r="AF52" s="61">
        <v>-4</v>
      </c>
      <c r="AG52" s="61">
        <v>-4</v>
      </c>
      <c r="AH52" s="61">
        <v>-4</v>
      </c>
      <c r="AI52" s="61">
        <v>-4</v>
      </c>
      <c r="AJ52" s="61">
        <v>-4</v>
      </c>
      <c r="AK52" s="61">
        <v>-4</v>
      </c>
      <c r="AL52" s="61">
        <v>-4</v>
      </c>
      <c r="AM52" s="61">
        <v>-4</v>
      </c>
      <c r="AN52" s="61">
        <v>-4</v>
      </c>
      <c r="AO52" s="61">
        <v>-4</v>
      </c>
      <c r="AP52" s="61">
        <v>-4</v>
      </c>
      <c r="AQ52" s="61">
        <v>-4</v>
      </c>
      <c r="AR52" s="61">
        <v>-4</v>
      </c>
      <c r="AS52" s="61">
        <v>-4</v>
      </c>
      <c r="AT52" s="91">
        <v>-2</v>
      </c>
      <c r="AU52" s="91">
        <v>-3</v>
      </c>
      <c r="AV52" s="91">
        <v>-3</v>
      </c>
      <c r="AW52" s="91">
        <v>-1</v>
      </c>
      <c r="AX52" s="91">
        <v>-3</v>
      </c>
      <c r="AY52" s="91">
        <v>-3</v>
      </c>
      <c r="AZ52" s="91">
        <v>-3</v>
      </c>
      <c r="BA52" s="91">
        <v>-3</v>
      </c>
      <c r="BB52" s="91">
        <v>-3</v>
      </c>
      <c r="BC52" s="91">
        <v>-3</v>
      </c>
      <c r="BD52" s="91">
        <v>-1</v>
      </c>
      <c r="BE52" s="91">
        <v>-3</v>
      </c>
      <c r="BF52" s="91">
        <v>-3</v>
      </c>
      <c r="BG52" s="91">
        <v>-3</v>
      </c>
      <c r="BH52" s="91">
        <v>-3</v>
      </c>
      <c r="BI52" s="91">
        <v>-3</v>
      </c>
      <c r="BJ52" s="91">
        <v>-3</v>
      </c>
      <c r="BK52" s="91">
        <v>-1</v>
      </c>
      <c r="BL52" s="91">
        <v>-1</v>
      </c>
      <c r="BM52" s="91">
        <v>-3</v>
      </c>
      <c r="BN52" s="91">
        <v>-1</v>
      </c>
      <c r="BO52" s="91">
        <v>-3</v>
      </c>
      <c r="BP52" s="91">
        <v>-3</v>
      </c>
      <c r="BQ52" s="91">
        <v>-3</v>
      </c>
      <c r="BR52" s="91">
        <v>-3</v>
      </c>
      <c r="BS52" s="91">
        <v>-3</v>
      </c>
      <c r="BT52" s="91">
        <v>-3</v>
      </c>
    </row>
    <row r="53" spans="2:72" x14ac:dyDescent="0.2">
      <c r="B53" s="77" t="s">
        <v>958</v>
      </c>
      <c r="C53" s="12">
        <f t="shared" si="117"/>
        <v>11</v>
      </c>
      <c r="D53" s="42">
        <f t="shared" si="118"/>
        <v>35.193690095846648</v>
      </c>
      <c r="E53" s="42">
        <f t="shared" si="119"/>
        <v>0.89391972843450418</v>
      </c>
      <c r="G53" s="23">
        <v>19</v>
      </c>
      <c r="H53" s="61">
        <v>-3</v>
      </c>
      <c r="I53" s="61">
        <v>-3</v>
      </c>
      <c r="J53" s="61">
        <v>-3</v>
      </c>
      <c r="K53" s="61">
        <v>-3</v>
      </c>
      <c r="L53" s="61">
        <v>-3</v>
      </c>
      <c r="M53" s="61">
        <v>-3</v>
      </c>
      <c r="N53" s="61">
        <v>-3</v>
      </c>
      <c r="O53" s="61">
        <v>-3</v>
      </c>
      <c r="P53" s="61">
        <v>-3</v>
      </c>
      <c r="Q53" s="61">
        <v>-3</v>
      </c>
      <c r="R53" s="61">
        <v>-3</v>
      </c>
      <c r="S53" s="61">
        <v>-3</v>
      </c>
      <c r="T53" s="61">
        <v>-3</v>
      </c>
      <c r="U53" s="61">
        <v>-3</v>
      </c>
      <c r="V53" s="61">
        <v>-3</v>
      </c>
      <c r="W53" s="61">
        <v>-3</v>
      </c>
      <c r="X53" s="61">
        <v>-3</v>
      </c>
      <c r="Y53" s="61">
        <v>-3</v>
      </c>
      <c r="Z53" s="61">
        <v>-3</v>
      </c>
      <c r="AA53" s="61">
        <v>-3</v>
      </c>
      <c r="AB53" s="61">
        <v>-3</v>
      </c>
      <c r="AC53" s="61">
        <v>-3</v>
      </c>
      <c r="AD53" s="61">
        <v>-3</v>
      </c>
      <c r="AE53" s="61">
        <v>-3</v>
      </c>
      <c r="AF53" s="61">
        <v>-3</v>
      </c>
      <c r="AG53" s="61">
        <v>-3</v>
      </c>
      <c r="AH53" s="61">
        <v>-3</v>
      </c>
      <c r="AI53" s="61">
        <v>-3</v>
      </c>
      <c r="AJ53" s="61">
        <v>-3</v>
      </c>
      <c r="AK53" s="61">
        <v>-3</v>
      </c>
      <c r="AL53" s="61">
        <v>-3</v>
      </c>
      <c r="AM53" s="61">
        <v>-3</v>
      </c>
      <c r="AN53" s="61">
        <v>-3</v>
      </c>
      <c r="AO53" s="61">
        <v>-3</v>
      </c>
      <c r="AP53" s="61">
        <v>-3</v>
      </c>
      <c r="AQ53" s="61">
        <v>-3</v>
      </c>
      <c r="AR53" s="61">
        <v>-3</v>
      </c>
      <c r="AS53" s="61">
        <v>-3</v>
      </c>
      <c r="AT53" s="91">
        <v>-2</v>
      </c>
      <c r="AU53" s="91">
        <v>-3</v>
      </c>
      <c r="AV53" s="91">
        <v>-3</v>
      </c>
      <c r="AW53" s="91">
        <v>-1</v>
      </c>
      <c r="AX53" s="91">
        <v>-3</v>
      </c>
      <c r="AY53" s="91">
        <v>-3</v>
      </c>
      <c r="AZ53" s="91">
        <v>-3</v>
      </c>
      <c r="BA53" s="91">
        <v>-3</v>
      </c>
      <c r="BB53" s="91">
        <v>-3</v>
      </c>
      <c r="BC53" s="91">
        <v>-3</v>
      </c>
      <c r="BD53" s="91">
        <v>-1</v>
      </c>
      <c r="BE53" s="91">
        <v>-3</v>
      </c>
      <c r="BF53" s="91">
        <v>-3</v>
      </c>
      <c r="BG53" s="91">
        <v>-3</v>
      </c>
      <c r="BH53" s="91">
        <v>-3</v>
      </c>
      <c r="BI53" s="91">
        <v>-3</v>
      </c>
      <c r="BJ53" s="91">
        <v>-3</v>
      </c>
      <c r="BK53" s="91">
        <v>-1</v>
      </c>
      <c r="BL53" s="91">
        <v>-1</v>
      </c>
      <c r="BM53" s="91">
        <v>-3</v>
      </c>
      <c r="BN53" s="91">
        <v>-1</v>
      </c>
      <c r="BO53" s="91">
        <v>-3</v>
      </c>
      <c r="BP53" s="91">
        <v>-3</v>
      </c>
      <c r="BQ53" s="91">
        <v>-3</v>
      </c>
      <c r="BR53" s="91">
        <v>-3</v>
      </c>
      <c r="BS53" s="91">
        <v>-3</v>
      </c>
      <c r="BT53" s="91">
        <v>-3</v>
      </c>
    </row>
    <row r="54" spans="2:72" x14ac:dyDescent="0.2">
      <c r="B54" s="77" t="s">
        <v>957</v>
      </c>
      <c r="C54" s="12">
        <f t="shared" si="117"/>
        <v>12</v>
      </c>
      <c r="D54" s="42">
        <f t="shared" si="118"/>
        <v>35.193690095846648</v>
      </c>
      <c r="E54" s="42">
        <f t="shared" si="119"/>
        <v>0.89391972843450418</v>
      </c>
      <c r="F54" s="43"/>
      <c r="G54" s="23">
        <v>20</v>
      </c>
      <c r="H54" s="61">
        <v>-3</v>
      </c>
      <c r="I54" s="61">
        <v>-3</v>
      </c>
      <c r="J54" s="61">
        <v>-3</v>
      </c>
      <c r="K54" s="61">
        <v>-3</v>
      </c>
      <c r="L54" s="61">
        <v>-3</v>
      </c>
      <c r="M54" s="61">
        <v>-3</v>
      </c>
      <c r="N54" s="61">
        <v>-3</v>
      </c>
      <c r="O54" s="61">
        <v>-3</v>
      </c>
      <c r="P54" s="61">
        <v>-3</v>
      </c>
      <c r="Q54" s="61">
        <v>-3</v>
      </c>
      <c r="R54" s="61">
        <v>-3</v>
      </c>
      <c r="S54" s="61">
        <v>-3</v>
      </c>
      <c r="T54" s="61">
        <v>-3</v>
      </c>
      <c r="U54" s="61">
        <v>-3</v>
      </c>
      <c r="V54" s="61">
        <v>-3</v>
      </c>
      <c r="W54" s="61">
        <v>-3</v>
      </c>
      <c r="X54" s="61">
        <v>-3</v>
      </c>
      <c r="Y54" s="61">
        <v>-3</v>
      </c>
      <c r="Z54" s="61">
        <v>-3</v>
      </c>
      <c r="AA54" s="61">
        <v>-3</v>
      </c>
      <c r="AB54" s="61">
        <v>-3</v>
      </c>
      <c r="AC54" s="61">
        <v>-3</v>
      </c>
      <c r="AD54" s="61">
        <v>-3</v>
      </c>
      <c r="AE54" s="61">
        <v>-3</v>
      </c>
      <c r="AF54" s="61">
        <v>-3</v>
      </c>
      <c r="AG54" s="61">
        <v>-3</v>
      </c>
      <c r="AH54" s="61">
        <v>-3</v>
      </c>
      <c r="AI54" s="61">
        <v>-3</v>
      </c>
      <c r="AJ54" s="61">
        <v>-3</v>
      </c>
      <c r="AK54" s="61">
        <v>-3</v>
      </c>
      <c r="AL54" s="61">
        <v>-3</v>
      </c>
      <c r="AM54" s="61">
        <v>-3</v>
      </c>
      <c r="AN54" s="61">
        <v>-3</v>
      </c>
      <c r="AO54" s="61">
        <v>-3</v>
      </c>
      <c r="AP54" s="61">
        <v>-3</v>
      </c>
      <c r="AQ54" s="61">
        <v>-3</v>
      </c>
      <c r="AR54" s="61">
        <v>-3</v>
      </c>
      <c r="AS54" s="61">
        <v>-3</v>
      </c>
      <c r="AT54" s="91">
        <v>-2</v>
      </c>
      <c r="AU54" s="91">
        <v>-3</v>
      </c>
      <c r="AV54" s="91">
        <v>-3</v>
      </c>
      <c r="AW54" s="91">
        <v>-1</v>
      </c>
      <c r="AX54" s="91">
        <v>-2</v>
      </c>
      <c r="AY54" s="91">
        <v>-2</v>
      </c>
      <c r="AZ54" s="91">
        <v>-2</v>
      </c>
      <c r="BA54" s="91">
        <v>-2</v>
      </c>
      <c r="BB54" s="91">
        <v>-2</v>
      </c>
      <c r="BC54" s="91">
        <v>-3</v>
      </c>
      <c r="BD54" s="91">
        <v>-1</v>
      </c>
      <c r="BE54" s="91">
        <v>-2</v>
      </c>
      <c r="BF54" s="91">
        <v>-2</v>
      </c>
      <c r="BG54" s="91">
        <v>-2</v>
      </c>
      <c r="BH54" s="91">
        <v>-3</v>
      </c>
      <c r="BI54" s="91">
        <v>-3</v>
      </c>
      <c r="BJ54" s="91">
        <v>-3</v>
      </c>
      <c r="BK54" s="91">
        <v>-1</v>
      </c>
      <c r="BL54" s="91">
        <v>-1</v>
      </c>
      <c r="BM54" s="91">
        <v>-3</v>
      </c>
      <c r="BN54" s="91">
        <v>-1</v>
      </c>
      <c r="BO54" s="91">
        <v>-3</v>
      </c>
      <c r="BP54" s="91">
        <v>-3</v>
      </c>
      <c r="BQ54" s="91">
        <v>-3</v>
      </c>
      <c r="BR54" s="91">
        <v>-3</v>
      </c>
      <c r="BS54" s="91">
        <v>-3</v>
      </c>
      <c r="BT54" s="91">
        <v>-3</v>
      </c>
    </row>
    <row r="55" spans="2:72" x14ac:dyDescent="0.2">
      <c r="B55" s="77" t="s">
        <v>4065</v>
      </c>
      <c r="C55" s="12">
        <f t="shared" si="117"/>
        <v>13</v>
      </c>
      <c r="D55" s="42">
        <f t="shared" si="118"/>
        <v>41.049030786773088</v>
      </c>
      <c r="E55" s="42">
        <f t="shared" si="119"/>
        <v>1.0426453819840305</v>
      </c>
      <c r="F55" s="43"/>
      <c r="G55" s="23">
        <v>21</v>
      </c>
      <c r="H55" s="61">
        <v>-3</v>
      </c>
      <c r="I55" s="61">
        <v>-3</v>
      </c>
      <c r="J55" s="61">
        <v>-3</v>
      </c>
      <c r="K55" s="61">
        <v>-3</v>
      </c>
      <c r="L55" s="61">
        <v>-3</v>
      </c>
      <c r="M55" s="61">
        <v>-3</v>
      </c>
      <c r="N55" s="61">
        <v>-3</v>
      </c>
      <c r="O55" s="61">
        <v>-3</v>
      </c>
      <c r="P55" s="61">
        <v>-3</v>
      </c>
      <c r="Q55" s="61">
        <v>-3</v>
      </c>
      <c r="R55" s="61">
        <v>-3</v>
      </c>
      <c r="S55" s="61">
        <v>-3</v>
      </c>
      <c r="T55" s="61">
        <v>-3</v>
      </c>
      <c r="U55" s="61">
        <v>-3</v>
      </c>
      <c r="V55" s="61">
        <v>-3</v>
      </c>
      <c r="W55" s="61">
        <v>-3</v>
      </c>
      <c r="X55" s="61">
        <v>-3</v>
      </c>
      <c r="Y55" s="61">
        <v>-3</v>
      </c>
      <c r="Z55" s="61">
        <v>-3</v>
      </c>
      <c r="AA55" s="61">
        <v>-3</v>
      </c>
      <c r="AB55" s="61">
        <v>-3</v>
      </c>
      <c r="AC55" s="61">
        <v>-3</v>
      </c>
      <c r="AD55" s="61">
        <v>-3</v>
      </c>
      <c r="AE55" s="61">
        <v>-3</v>
      </c>
      <c r="AF55" s="61">
        <v>-3</v>
      </c>
      <c r="AG55" s="61">
        <v>-3</v>
      </c>
      <c r="AH55" s="61">
        <v>-3</v>
      </c>
      <c r="AI55" s="61">
        <v>-3</v>
      </c>
      <c r="AJ55" s="61">
        <v>-3</v>
      </c>
      <c r="AK55" s="61">
        <v>-3</v>
      </c>
      <c r="AL55" s="61">
        <v>-3</v>
      </c>
      <c r="AM55" s="61">
        <v>-3</v>
      </c>
      <c r="AN55" s="61">
        <v>-3</v>
      </c>
      <c r="AO55" s="61">
        <v>-3</v>
      </c>
      <c r="AP55" s="61">
        <v>-3</v>
      </c>
      <c r="AQ55" s="61">
        <v>-3</v>
      </c>
      <c r="AR55" s="61">
        <v>-3</v>
      </c>
      <c r="AS55" s="61">
        <v>-3</v>
      </c>
      <c r="AT55" s="91">
        <v>-1</v>
      </c>
      <c r="AU55" s="91">
        <v>-2</v>
      </c>
      <c r="AV55" s="91">
        <v>-2</v>
      </c>
      <c r="AW55" s="91">
        <v>-1</v>
      </c>
      <c r="AX55" s="91">
        <v>-2</v>
      </c>
      <c r="AY55" s="91">
        <v>-2</v>
      </c>
      <c r="AZ55" s="91">
        <v>-2</v>
      </c>
      <c r="BA55" s="91">
        <v>-2</v>
      </c>
      <c r="BB55" s="91">
        <v>-2</v>
      </c>
      <c r="BC55" s="91">
        <v>-3</v>
      </c>
      <c r="BD55" s="91">
        <v>0</v>
      </c>
      <c r="BE55" s="91">
        <v>-2</v>
      </c>
      <c r="BF55" s="91">
        <v>-2</v>
      </c>
      <c r="BG55" s="91">
        <v>-2</v>
      </c>
      <c r="BH55" s="91">
        <v>-2</v>
      </c>
      <c r="BI55" s="91">
        <v>-2</v>
      </c>
      <c r="BJ55" s="91">
        <v>-2</v>
      </c>
      <c r="BK55" s="91">
        <v>-1</v>
      </c>
      <c r="BL55" s="91">
        <v>-1</v>
      </c>
      <c r="BM55" s="91">
        <v>-3</v>
      </c>
      <c r="BN55" s="91">
        <v>0</v>
      </c>
      <c r="BO55" s="91">
        <v>-3</v>
      </c>
      <c r="BP55" s="91">
        <v>-3</v>
      </c>
      <c r="BQ55" s="91">
        <v>-3</v>
      </c>
      <c r="BR55" s="91">
        <v>-3</v>
      </c>
      <c r="BS55" s="91">
        <v>-3</v>
      </c>
      <c r="BT55" s="91">
        <v>-3</v>
      </c>
    </row>
    <row r="56" spans="2:72" x14ac:dyDescent="0.2">
      <c r="B56" s="77" t="s">
        <v>4215</v>
      </c>
      <c r="C56" s="12">
        <f t="shared" si="117"/>
        <v>14</v>
      </c>
      <c r="D56" s="42">
        <f t="shared" si="118"/>
        <v>18.554819521427603</v>
      </c>
      <c r="E56" s="42">
        <f t="shared" si="119"/>
        <v>0.4712924158442604</v>
      </c>
      <c r="F56" s="43"/>
      <c r="G56" s="23">
        <v>22</v>
      </c>
      <c r="H56" s="61">
        <v>-3</v>
      </c>
      <c r="I56" s="61">
        <v>-3</v>
      </c>
      <c r="J56" s="61">
        <v>-3</v>
      </c>
      <c r="K56" s="61">
        <v>-3</v>
      </c>
      <c r="L56" s="61">
        <v>-3</v>
      </c>
      <c r="M56" s="61">
        <v>-3</v>
      </c>
      <c r="N56" s="61">
        <v>-3</v>
      </c>
      <c r="O56" s="61">
        <v>-3</v>
      </c>
      <c r="P56" s="61">
        <v>-3</v>
      </c>
      <c r="Q56" s="61">
        <v>-3</v>
      </c>
      <c r="R56" s="61">
        <v>-3</v>
      </c>
      <c r="S56" s="61">
        <v>-3</v>
      </c>
      <c r="T56" s="61">
        <v>-3</v>
      </c>
      <c r="U56" s="61">
        <v>-3</v>
      </c>
      <c r="V56" s="61">
        <v>-3</v>
      </c>
      <c r="W56" s="61">
        <v>-3</v>
      </c>
      <c r="X56" s="61">
        <v>-3</v>
      </c>
      <c r="Y56" s="61">
        <v>-3</v>
      </c>
      <c r="Z56" s="61">
        <v>-3</v>
      </c>
      <c r="AA56" s="61">
        <v>-3</v>
      </c>
      <c r="AB56" s="61">
        <v>-3</v>
      </c>
      <c r="AC56" s="61">
        <v>-3</v>
      </c>
      <c r="AD56" s="61">
        <v>-3</v>
      </c>
      <c r="AE56" s="61">
        <v>-3</v>
      </c>
      <c r="AF56" s="61">
        <v>-3</v>
      </c>
      <c r="AG56" s="61">
        <v>-3</v>
      </c>
      <c r="AH56" s="61">
        <v>-3</v>
      </c>
      <c r="AI56" s="61">
        <v>-3</v>
      </c>
      <c r="AJ56" s="61">
        <v>-3</v>
      </c>
      <c r="AK56" s="61">
        <v>-3</v>
      </c>
      <c r="AL56" s="61">
        <v>-3</v>
      </c>
      <c r="AM56" s="61">
        <v>-3</v>
      </c>
      <c r="AN56" s="61">
        <v>-3</v>
      </c>
      <c r="AO56" s="61">
        <v>-3</v>
      </c>
      <c r="AP56" s="61">
        <v>-3</v>
      </c>
      <c r="AQ56" s="61">
        <v>-3</v>
      </c>
      <c r="AR56" s="61">
        <v>-3</v>
      </c>
      <c r="AS56" s="61">
        <v>-3</v>
      </c>
      <c r="AT56" s="91">
        <v>-1</v>
      </c>
      <c r="AU56" s="91">
        <v>-2</v>
      </c>
      <c r="AV56" s="91">
        <v>-2</v>
      </c>
      <c r="AW56" s="91">
        <v>-1</v>
      </c>
      <c r="AX56" s="91">
        <v>-2</v>
      </c>
      <c r="AY56" s="91">
        <v>-2</v>
      </c>
      <c r="AZ56" s="91">
        <v>-2</v>
      </c>
      <c r="BA56" s="91">
        <v>-2</v>
      </c>
      <c r="BB56" s="91">
        <v>-2</v>
      </c>
      <c r="BC56" s="91">
        <v>-3</v>
      </c>
      <c r="BD56" s="91">
        <v>0</v>
      </c>
      <c r="BE56" s="91">
        <v>-2</v>
      </c>
      <c r="BF56" s="91">
        <v>-2</v>
      </c>
      <c r="BG56" s="91">
        <v>-2</v>
      </c>
      <c r="BH56" s="91">
        <v>-2</v>
      </c>
      <c r="BI56" s="91">
        <v>-2</v>
      </c>
      <c r="BJ56" s="91">
        <v>-2</v>
      </c>
      <c r="BK56" s="91">
        <v>-1</v>
      </c>
      <c r="BL56" s="91">
        <v>-1</v>
      </c>
      <c r="BM56" s="91">
        <v>-3</v>
      </c>
      <c r="BN56" s="91">
        <v>0</v>
      </c>
      <c r="BO56" s="91">
        <v>-3</v>
      </c>
      <c r="BP56" s="91">
        <v>-3</v>
      </c>
      <c r="BQ56" s="91">
        <v>-3</v>
      </c>
      <c r="BR56" s="91">
        <v>-3</v>
      </c>
      <c r="BS56" s="91">
        <v>-3</v>
      </c>
      <c r="BT56" s="91">
        <v>-3</v>
      </c>
    </row>
    <row r="57" spans="2:72" x14ac:dyDescent="0.2">
      <c r="B57" s="77" t="s">
        <v>4227</v>
      </c>
      <c r="C57" s="12">
        <f t="shared" si="117"/>
        <v>15</v>
      </c>
      <c r="D57" s="42">
        <f t="shared" si="118"/>
        <v>16.759336970205624</v>
      </c>
      <c r="E57" s="42">
        <f t="shared" si="119"/>
        <v>0.42568715904322296</v>
      </c>
      <c r="F57" s="43"/>
      <c r="G57" s="23">
        <v>23</v>
      </c>
      <c r="H57" s="61">
        <v>-2</v>
      </c>
      <c r="I57" s="61">
        <v>-2</v>
      </c>
      <c r="J57" s="61">
        <v>-2</v>
      </c>
      <c r="K57" s="61">
        <v>-2</v>
      </c>
      <c r="L57" s="61">
        <v>-2</v>
      </c>
      <c r="M57" s="61">
        <v>-2</v>
      </c>
      <c r="N57" s="61">
        <v>-2</v>
      </c>
      <c r="O57" s="61">
        <v>-2</v>
      </c>
      <c r="P57" s="61">
        <v>-2</v>
      </c>
      <c r="Q57" s="61">
        <v>-2</v>
      </c>
      <c r="R57" s="61">
        <v>-2</v>
      </c>
      <c r="S57" s="61">
        <v>-2</v>
      </c>
      <c r="T57" s="61">
        <v>-2</v>
      </c>
      <c r="U57" s="61">
        <v>-2</v>
      </c>
      <c r="V57" s="61">
        <v>-2</v>
      </c>
      <c r="W57" s="61">
        <v>-2</v>
      </c>
      <c r="X57" s="61">
        <v>-2</v>
      </c>
      <c r="Y57" s="61">
        <v>-2</v>
      </c>
      <c r="Z57" s="61">
        <v>-2</v>
      </c>
      <c r="AA57" s="61">
        <v>-2</v>
      </c>
      <c r="AB57" s="61">
        <v>-2</v>
      </c>
      <c r="AC57" s="61">
        <v>-2</v>
      </c>
      <c r="AD57" s="61">
        <v>-2</v>
      </c>
      <c r="AE57" s="61">
        <v>-2</v>
      </c>
      <c r="AF57" s="61">
        <v>-2</v>
      </c>
      <c r="AG57" s="61">
        <v>-2</v>
      </c>
      <c r="AH57" s="61">
        <v>-2</v>
      </c>
      <c r="AI57" s="61">
        <v>-2</v>
      </c>
      <c r="AJ57" s="61">
        <v>-2</v>
      </c>
      <c r="AK57" s="61">
        <v>-2</v>
      </c>
      <c r="AL57" s="61">
        <v>-2</v>
      </c>
      <c r="AM57" s="61">
        <v>-2</v>
      </c>
      <c r="AN57" s="61">
        <v>-2</v>
      </c>
      <c r="AO57" s="61">
        <v>-2</v>
      </c>
      <c r="AP57" s="61">
        <v>-2</v>
      </c>
      <c r="AQ57" s="61">
        <v>-2</v>
      </c>
      <c r="AR57" s="61">
        <v>-2</v>
      </c>
      <c r="AS57" s="61">
        <v>-2</v>
      </c>
      <c r="AT57" s="91">
        <v>-1</v>
      </c>
      <c r="AU57" s="91">
        <v>-2</v>
      </c>
      <c r="AV57" s="91">
        <v>-2</v>
      </c>
      <c r="AW57" s="91">
        <v>-1</v>
      </c>
      <c r="AX57" s="91">
        <v>-2</v>
      </c>
      <c r="AY57" s="91">
        <v>-2</v>
      </c>
      <c r="AZ57" s="91">
        <v>-2</v>
      </c>
      <c r="BA57" s="91">
        <v>-2</v>
      </c>
      <c r="BB57" s="91">
        <v>-2</v>
      </c>
      <c r="BC57" s="91">
        <v>-3</v>
      </c>
      <c r="BD57" s="91">
        <v>0</v>
      </c>
      <c r="BE57" s="91">
        <v>-2</v>
      </c>
      <c r="BF57" s="91">
        <v>-2</v>
      </c>
      <c r="BG57" s="91">
        <v>-2</v>
      </c>
      <c r="BH57" s="91">
        <v>-2</v>
      </c>
      <c r="BI57" s="91">
        <v>-2</v>
      </c>
      <c r="BJ57" s="91">
        <v>-2</v>
      </c>
      <c r="BK57" s="91">
        <v>-1</v>
      </c>
      <c r="BL57" s="91">
        <v>-1</v>
      </c>
      <c r="BM57" s="91">
        <v>-3</v>
      </c>
      <c r="BN57" s="91">
        <v>0</v>
      </c>
      <c r="BO57" s="91">
        <v>-3</v>
      </c>
      <c r="BP57" s="91">
        <v>-3</v>
      </c>
      <c r="BQ57" s="91">
        <v>-3</v>
      </c>
      <c r="BR57" s="91">
        <v>-3</v>
      </c>
      <c r="BS57" s="91">
        <v>-3</v>
      </c>
      <c r="BT57" s="91">
        <v>-3</v>
      </c>
    </row>
    <row r="58" spans="2:72" x14ac:dyDescent="0.2">
      <c r="B58" s="77" t="s">
        <v>4226</v>
      </c>
      <c r="C58" s="12">
        <f t="shared" si="117"/>
        <v>16</v>
      </c>
      <c r="D58" s="42">
        <f t="shared" si="118"/>
        <v>64.431047475508663</v>
      </c>
      <c r="E58" s="42">
        <f t="shared" si="119"/>
        <v>1.6365486058779197</v>
      </c>
      <c r="F58" s="43"/>
      <c r="G58" s="23">
        <v>24</v>
      </c>
      <c r="H58" s="61">
        <v>-2</v>
      </c>
      <c r="I58" s="61">
        <v>-2</v>
      </c>
      <c r="J58" s="61">
        <v>-2</v>
      </c>
      <c r="K58" s="61">
        <v>-2</v>
      </c>
      <c r="L58" s="61">
        <v>-2</v>
      </c>
      <c r="M58" s="61">
        <v>-2</v>
      </c>
      <c r="N58" s="61">
        <v>-2</v>
      </c>
      <c r="O58" s="61">
        <v>-2</v>
      </c>
      <c r="P58" s="61">
        <v>-2</v>
      </c>
      <c r="Q58" s="61">
        <v>-2</v>
      </c>
      <c r="R58" s="61">
        <v>-2</v>
      </c>
      <c r="S58" s="61">
        <v>-2</v>
      </c>
      <c r="T58" s="61">
        <v>-2</v>
      </c>
      <c r="U58" s="61">
        <v>-2</v>
      </c>
      <c r="V58" s="61">
        <v>-2</v>
      </c>
      <c r="W58" s="61">
        <v>-2</v>
      </c>
      <c r="X58" s="61">
        <v>-2</v>
      </c>
      <c r="Y58" s="61">
        <v>-2</v>
      </c>
      <c r="Z58" s="61">
        <v>-2</v>
      </c>
      <c r="AA58" s="61">
        <v>-2</v>
      </c>
      <c r="AB58" s="61">
        <v>-2</v>
      </c>
      <c r="AC58" s="61">
        <v>-2</v>
      </c>
      <c r="AD58" s="61">
        <v>-2</v>
      </c>
      <c r="AE58" s="61">
        <v>-2</v>
      </c>
      <c r="AF58" s="61">
        <v>-2</v>
      </c>
      <c r="AG58" s="61">
        <v>-2</v>
      </c>
      <c r="AH58" s="61">
        <v>-2</v>
      </c>
      <c r="AI58" s="61">
        <v>-2</v>
      </c>
      <c r="AJ58" s="61">
        <v>-2</v>
      </c>
      <c r="AK58" s="61">
        <v>-2</v>
      </c>
      <c r="AL58" s="61">
        <v>-2</v>
      </c>
      <c r="AM58" s="61">
        <v>-2</v>
      </c>
      <c r="AN58" s="61">
        <v>-2</v>
      </c>
      <c r="AO58" s="61">
        <v>-2</v>
      </c>
      <c r="AP58" s="61">
        <v>-2</v>
      </c>
      <c r="AQ58" s="61">
        <v>-2</v>
      </c>
      <c r="AR58" s="61">
        <v>-2</v>
      </c>
      <c r="AS58" s="61">
        <v>-2</v>
      </c>
      <c r="AT58" s="91">
        <v>-1</v>
      </c>
      <c r="AU58" s="91">
        <v>-2</v>
      </c>
      <c r="AV58" s="91">
        <v>-2</v>
      </c>
      <c r="AW58" s="91">
        <v>-1</v>
      </c>
      <c r="AX58" s="91">
        <v>-2</v>
      </c>
      <c r="AY58" s="91">
        <v>-2</v>
      </c>
      <c r="AZ58" s="91">
        <v>-2</v>
      </c>
      <c r="BA58" s="91">
        <v>-2</v>
      </c>
      <c r="BB58" s="91">
        <v>-2</v>
      </c>
      <c r="BC58" s="91">
        <v>-3</v>
      </c>
      <c r="BD58" s="91">
        <v>0</v>
      </c>
      <c r="BE58" s="91">
        <v>-2</v>
      </c>
      <c r="BF58" s="91">
        <v>-2</v>
      </c>
      <c r="BG58" s="91">
        <v>-2</v>
      </c>
      <c r="BH58" s="91">
        <v>-2</v>
      </c>
      <c r="BI58" s="91">
        <v>-2</v>
      </c>
      <c r="BJ58" s="91">
        <v>-2</v>
      </c>
      <c r="BK58" s="91">
        <v>-1</v>
      </c>
      <c r="BL58" s="91">
        <v>-1</v>
      </c>
      <c r="BM58" s="91">
        <v>-3</v>
      </c>
      <c r="BN58" s="91">
        <v>0</v>
      </c>
      <c r="BO58" s="91">
        <v>-3</v>
      </c>
      <c r="BP58" s="91">
        <v>-3</v>
      </c>
      <c r="BQ58" s="91">
        <v>-3</v>
      </c>
      <c r="BR58" s="91">
        <v>-3</v>
      </c>
      <c r="BS58" s="91">
        <v>-3</v>
      </c>
      <c r="BT58" s="91">
        <v>-3</v>
      </c>
    </row>
    <row r="59" spans="2:72" x14ac:dyDescent="0.2">
      <c r="B59" s="77" t="s">
        <v>4066</v>
      </c>
      <c r="C59" s="12">
        <f t="shared" si="117"/>
        <v>17</v>
      </c>
      <c r="D59" s="42">
        <f t="shared" si="118"/>
        <v>42.211328976034856</v>
      </c>
      <c r="E59" s="42">
        <f t="shared" si="119"/>
        <v>1.0721677559912877</v>
      </c>
      <c r="F59" s="43"/>
      <c r="G59" s="23">
        <v>25</v>
      </c>
      <c r="H59" s="61">
        <v>-2</v>
      </c>
      <c r="I59" s="61">
        <v>-2</v>
      </c>
      <c r="J59" s="61">
        <v>-2</v>
      </c>
      <c r="K59" s="61">
        <v>-2</v>
      </c>
      <c r="L59" s="61">
        <v>-2</v>
      </c>
      <c r="M59" s="61">
        <v>-2</v>
      </c>
      <c r="N59" s="61">
        <v>-2</v>
      </c>
      <c r="O59" s="61">
        <v>-2</v>
      </c>
      <c r="P59" s="61">
        <v>-2</v>
      </c>
      <c r="Q59" s="61">
        <v>-2</v>
      </c>
      <c r="R59" s="61">
        <v>-2</v>
      </c>
      <c r="S59" s="61">
        <v>-2</v>
      </c>
      <c r="T59" s="61">
        <v>-2</v>
      </c>
      <c r="U59" s="61">
        <v>-2</v>
      </c>
      <c r="V59" s="61">
        <v>-2</v>
      </c>
      <c r="W59" s="61">
        <v>-2</v>
      </c>
      <c r="X59" s="61">
        <v>-2</v>
      </c>
      <c r="Y59" s="61">
        <v>-2</v>
      </c>
      <c r="Z59" s="61">
        <v>-2</v>
      </c>
      <c r="AA59" s="61">
        <v>-2</v>
      </c>
      <c r="AB59" s="61">
        <v>-2</v>
      </c>
      <c r="AC59" s="61">
        <v>-2</v>
      </c>
      <c r="AD59" s="61">
        <v>-2</v>
      </c>
      <c r="AE59" s="61">
        <v>-2</v>
      </c>
      <c r="AF59" s="61">
        <v>-2</v>
      </c>
      <c r="AG59" s="61">
        <v>-2</v>
      </c>
      <c r="AH59" s="61">
        <v>-2</v>
      </c>
      <c r="AI59" s="61">
        <v>-2</v>
      </c>
      <c r="AJ59" s="61">
        <v>-2</v>
      </c>
      <c r="AK59" s="61">
        <v>-2</v>
      </c>
      <c r="AL59" s="61">
        <v>-2</v>
      </c>
      <c r="AM59" s="61">
        <v>-2</v>
      </c>
      <c r="AN59" s="61">
        <v>-2</v>
      </c>
      <c r="AO59" s="61">
        <v>-2</v>
      </c>
      <c r="AP59" s="61">
        <v>-2</v>
      </c>
      <c r="AQ59" s="61">
        <v>-2</v>
      </c>
      <c r="AR59" s="61">
        <v>-2</v>
      </c>
      <c r="AS59" s="61">
        <v>-2</v>
      </c>
      <c r="AT59" s="91">
        <v>-1</v>
      </c>
      <c r="AU59" s="91">
        <v>-2</v>
      </c>
      <c r="AV59" s="91">
        <v>-2</v>
      </c>
      <c r="AW59" s="91">
        <v>-1</v>
      </c>
      <c r="AX59" s="91">
        <v>-2</v>
      </c>
      <c r="AY59" s="91">
        <v>-2</v>
      </c>
      <c r="AZ59" s="91">
        <v>-2</v>
      </c>
      <c r="BA59" s="91">
        <v>-2</v>
      </c>
      <c r="BB59" s="91">
        <v>-2</v>
      </c>
      <c r="BC59" s="91">
        <v>-3</v>
      </c>
      <c r="BD59" s="91">
        <v>0</v>
      </c>
      <c r="BE59" s="91">
        <v>-2</v>
      </c>
      <c r="BF59" s="91">
        <v>-2</v>
      </c>
      <c r="BG59" s="91">
        <v>-2</v>
      </c>
      <c r="BH59" s="91">
        <v>-2</v>
      </c>
      <c r="BI59" s="91">
        <v>-2</v>
      </c>
      <c r="BJ59" s="91">
        <v>-2</v>
      </c>
      <c r="BK59" s="91">
        <v>-1</v>
      </c>
      <c r="BL59" s="91">
        <v>-1</v>
      </c>
      <c r="BM59" s="91">
        <v>-3</v>
      </c>
      <c r="BN59" s="91">
        <v>0</v>
      </c>
      <c r="BO59" s="91">
        <v>-3</v>
      </c>
      <c r="BP59" s="91">
        <v>-3</v>
      </c>
      <c r="BQ59" s="91">
        <v>-3</v>
      </c>
      <c r="BR59" s="91">
        <v>-3</v>
      </c>
      <c r="BS59" s="91">
        <v>-3</v>
      </c>
      <c r="BT59" s="91">
        <v>-3</v>
      </c>
    </row>
    <row r="60" spans="2:72" x14ac:dyDescent="0.2">
      <c r="B60" s="77" t="s">
        <v>880</v>
      </c>
      <c r="C60" s="12">
        <f t="shared" si="117"/>
        <v>18</v>
      </c>
      <c r="D60" s="42">
        <f t="shared" si="118"/>
        <v>41.405486226925071</v>
      </c>
      <c r="E60" s="42">
        <f t="shared" si="119"/>
        <v>1.0516993501639007</v>
      </c>
      <c r="F60" s="43"/>
      <c r="G60" s="23">
        <v>26</v>
      </c>
      <c r="H60" s="61">
        <v>-2</v>
      </c>
      <c r="I60" s="61">
        <v>-2</v>
      </c>
      <c r="J60" s="61">
        <v>-2</v>
      </c>
      <c r="K60" s="61">
        <v>-2</v>
      </c>
      <c r="L60" s="61">
        <v>-2</v>
      </c>
      <c r="M60" s="61">
        <v>-2</v>
      </c>
      <c r="N60" s="61">
        <v>-2</v>
      </c>
      <c r="O60" s="61">
        <v>-2</v>
      </c>
      <c r="P60" s="61">
        <v>-2</v>
      </c>
      <c r="Q60" s="61">
        <v>-2</v>
      </c>
      <c r="R60" s="61">
        <v>-2</v>
      </c>
      <c r="S60" s="61">
        <v>-2</v>
      </c>
      <c r="T60" s="61">
        <v>-2</v>
      </c>
      <c r="U60" s="61">
        <v>-2</v>
      </c>
      <c r="V60" s="61">
        <v>-2</v>
      </c>
      <c r="W60" s="61">
        <v>-2</v>
      </c>
      <c r="X60" s="61">
        <v>-2</v>
      </c>
      <c r="Y60" s="61">
        <v>-2</v>
      </c>
      <c r="Z60" s="61">
        <v>-2</v>
      </c>
      <c r="AA60" s="61">
        <v>-2</v>
      </c>
      <c r="AB60" s="61">
        <v>-2</v>
      </c>
      <c r="AC60" s="61">
        <v>-2</v>
      </c>
      <c r="AD60" s="61">
        <v>-2</v>
      </c>
      <c r="AE60" s="61">
        <v>-2</v>
      </c>
      <c r="AF60" s="61">
        <v>-2</v>
      </c>
      <c r="AG60" s="61">
        <v>-2</v>
      </c>
      <c r="AH60" s="61">
        <v>-2</v>
      </c>
      <c r="AI60" s="61">
        <v>-2</v>
      </c>
      <c r="AJ60" s="61">
        <v>-2</v>
      </c>
      <c r="AK60" s="61">
        <v>-2</v>
      </c>
      <c r="AL60" s="61">
        <v>-2</v>
      </c>
      <c r="AM60" s="61">
        <v>-2</v>
      </c>
      <c r="AN60" s="61">
        <v>-2</v>
      </c>
      <c r="AO60" s="61">
        <v>-2</v>
      </c>
      <c r="AP60" s="61">
        <v>-2</v>
      </c>
      <c r="AQ60" s="61">
        <v>-2</v>
      </c>
      <c r="AR60" s="61">
        <v>-2</v>
      </c>
      <c r="AS60" s="61">
        <v>-2</v>
      </c>
      <c r="AT60" s="91">
        <v>-1</v>
      </c>
      <c r="AU60" s="91">
        <v>-2</v>
      </c>
      <c r="AV60" s="91">
        <v>-2</v>
      </c>
      <c r="AW60" s="91">
        <v>-1</v>
      </c>
      <c r="AX60" s="91">
        <v>-2</v>
      </c>
      <c r="AY60" s="91">
        <v>-2</v>
      </c>
      <c r="AZ60" s="91">
        <v>-2</v>
      </c>
      <c r="BA60" s="91">
        <v>-2</v>
      </c>
      <c r="BB60" s="91">
        <v>-2</v>
      </c>
      <c r="BC60" s="91">
        <v>-2</v>
      </c>
      <c r="BD60" s="91">
        <v>0</v>
      </c>
      <c r="BE60" s="91">
        <v>-2</v>
      </c>
      <c r="BF60" s="91">
        <v>-2</v>
      </c>
      <c r="BG60" s="91">
        <v>-2</v>
      </c>
      <c r="BH60" s="91">
        <v>-2</v>
      </c>
      <c r="BI60" s="91">
        <v>-2</v>
      </c>
      <c r="BJ60" s="91">
        <v>-2</v>
      </c>
      <c r="BK60" s="91">
        <v>-1</v>
      </c>
      <c r="BL60" s="91">
        <v>-1</v>
      </c>
      <c r="BM60" s="91">
        <v>-2</v>
      </c>
      <c r="BN60" s="91">
        <v>0</v>
      </c>
      <c r="BO60" s="91">
        <v>-2</v>
      </c>
      <c r="BP60" s="91">
        <v>-2</v>
      </c>
      <c r="BQ60" s="91">
        <v>-2</v>
      </c>
      <c r="BR60" s="91">
        <v>-2</v>
      </c>
      <c r="BS60" s="91">
        <v>-2</v>
      </c>
      <c r="BT60" s="91">
        <v>-2</v>
      </c>
    </row>
    <row r="61" spans="2:72" x14ac:dyDescent="0.2">
      <c r="B61" s="77" t="s">
        <v>1038</v>
      </c>
      <c r="C61" s="12">
        <f t="shared" si="117"/>
        <v>19</v>
      </c>
      <c r="D61" s="42">
        <f t="shared" si="118"/>
        <v>47.104842708390727</v>
      </c>
      <c r="E61" s="42">
        <f t="shared" si="119"/>
        <v>1.1964630047931308</v>
      </c>
      <c r="F61" s="43"/>
      <c r="G61" s="23">
        <v>27</v>
      </c>
      <c r="H61" s="61">
        <v>-2</v>
      </c>
      <c r="I61" s="61">
        <v>-2</v>
      </c>
      <c r="J61" s="61">
        <v>-2</v>
      </c>
      <c r="K61" s="61">
        <v>-2</v>
      </c>
      <c r="L61" s="61">
        <v>-2</v>
      </c>
      <c r="M61" s="61">
        <v>-2</v>
      </c>
      <c r="N61" s="61">
        <v>-2</v>
      </c>
      <c r="O61" s="61">
        <v>-2</v>
      </c>
      <c r="P61" s="61">
        <v>-2</v>
      </c>
      <c r="Q61" s="61">
        <v>-2</v>
      </c>
      <c r="R61" s="61">
        <v>-2</v>
      </c>
      <c r="S61" s="61">
        <v>-2</v>
      </c>
      <c r="T61" s="61">
        <v>-2</v>
      </c>
      <c r="U61" s="61">
        <v>-2</v>
      </c>
      <c r="V61" s="61">
        <v>-2</v>
      </c>
      <c r="W61" s="61">
        <v>-2</v>
      </c>
      <c r="X61" s="61">
        <v>-2</v>
      </c>
      <c r="Y61" s="61">
        <v>-2</v>
      </c>
      <c r="Z61" s="61">
        <v>-2</v>
      </c>
      <c r="AA61" s="61">
        <v>-2</v>
      </c>
      <c r="AB61" s="61">
        <v>-2</v>
      </c>
      <c r="AC61" s="61">
        <v>-2</v>
      </c>
      <c r="AD61" s="61">
        <v>-2</v>
      </c>
      <c r="AE61" s="61">
        <v>-2</v>
      </c>
      <c r="AF61" s="61">
        <v>-2</v>
      </c>
      <c r="AG61" s="61">
        <v>-2</v>
      </c>
      <c r="AH61" s="61">
        <v>-2</v>
      </c>
      <c r="AI61" s="61">
        <v>-2</v>
      </c>
      <c r="AJ61" s="61">
        <v>-2</v>
      </c>
      <c r="AK61" s="61">
        <v>-2</v>
      </c>
      <c r="AL61" s="61">
        <v>-2</v>
      </c>
      <c r="AM61" s="61">
        <v>-2</v>
      </c>
      <c r="AN61" s="61">
        <v>-2</v>
      </c>
      <c r="AO61" s="61">
        <v>-2</v>
      </c>
      <c r="AP61" s="61">
        <v>-2</v>
      </c>
      <c r="AQ61" s="61">
        <v>-2</v>
      </c>
      <c r="AR61" s="61">
        <v>-2</v>
      </c>
      <c r="AS61" s="61">
        <v>-2</v>
      </c>
      <c r="AT61" s="91">
        <v>-1</v>
      </c>
      <c r="AU61" s="91">
        <v>-2</v>
      </c>
      <c r="AV61" s="91">
        <v>-2</v>
      </c>
      <c r="AW61" s="91">
        <v>-1</v>
      </c>
      <c r="AX61" s="91">
        <v>-2</v>
      </c>
      <c r="AY61" s="91">
        <v>-2</v>
      </c>
      <c r="AZ61" s="91">
        <v>-2</v>
      </c>
      <c r="BA61" s="91">
        <v>-2</v>
      </c>
      <c r="BB61" s="91">
        <v>-2</v>
      </c>
      <c r="BC61" s="91">
        <v>-2</v>
      </c>
      <c r="BD61" s="91">
        <v>0</v>
      </c>
      <c r="BE61" s="91">
        <v>-2</v>
      </c>
      <c r="BF61" s="91">
        <v>-2</v>
      </c>
      <c r="BG61" s="91">
        <v>-2</v>
      </c>
      <c r="BH61" s="91">
        <v>-2</v>
      </c>
      <c r="BI61" s="91">
        <v>-2</v>
      </c>
      <c r="BJ61" s="91">
        <v>-2</v>
      </c>
      <c r="BK61" s="91">
        <v>-1</v>
      </c>
      <c r="BL61" s="91">
        <v>-1</v>
      </c>
      <c r="BM61" s="91">
        <v>-2</v>
      </c>
      <c r="BN61" s="91">
        <v>0</v>
      </c>
      <c r="BO61" s="91">
        <v>-2</v>
      </c>
      <c r="BP61" s="91">
        <v>-2</v>
      </c>
      <c r="BQ61" s="91">
        <v>-2</v>
      </c>
      <c r="BR61" s="91">
        <v>-2</v>
      </c>
      <c r="BS61" s="91">
        <v>-2</v>
      </c>
      <c r="BT61" s="91">
        <v>-2</v>
      </c>
    </row>
    <row r="62" spans="2:72" x14ac:dyDescent="0.2">
      <c r="B62" s="77" t="s">
        <v>4067</v>
      </c>
      <c r="C62" s="12">
        <f t="shared" si="117"/>
        <v>20</v>
      </c>
      <c r="D62" s="42">
        <f t="shared" si="118"/>
        <v>44.9154532644434</v>
      </c>
      <c r="E62" s="42">
        <f t="shared" si="119"/>
        <v>1.1408525129168652</v>
      </c>
      <c r="F62" s="43"/>
      <c r="G62" s="23">
        <v>28</v>
      </c>
      <c r="H62" s="61">
        <v>-2</v>
      </c>
      <c r="I62" s="61">
        <v>-2</v>
      </c>
      <c r="J62" s="61">
        <v>-2</v>
      </c>
      <c r="K62" s="61">
        <v>-2</v>
      </c>
      <c r="L62" s="61">
        <v>-2</v>
      </c>
      <c r="M62" s="61">
        <v>-2</v>
      </c>
      <c r="N62" s="61">
        <v>-2</v>
      </c>
      <c r="O62" s="61">
        <v>-2</v>
      </c>
      <c r="P62" s="61">
        <v>-2</v>
      </c>
      <c r="Q62" s="61">
        <v>-2</v>
      </c>
      <c r="R62" s="61">
        <v>-2</v>
      </c>
      <c r="S62" s="61">
        <v>-2</v>
      </c>
      <c r="T62" s="61">
        <v>-2</v>
      </c>
      <c r="U62" s="61">
        <v>-2</v>
      </c>
      <c r="V62" s="61">
        <v>-2</v>
      </c>
      <c r="W62" s="61">
        <v>-2</v>
      </c>
      <c r="X62" s="61">
        <v>-2</v>
      </c>
      <c r="Y62" s="61">
        <v>-2</v>
      </c>
      <c r="Z62" s="61">
        <v>-2</v>
      </c>
      <c r="AA62" s="61">
        <v>-2</v>
      </c>
      <c r="AB62" s="61">
        <v>-2</v>
      </c>
      <c r="AC62" s="61">
        <v>-2</v>
      </c>
      <c r="AD62" s="61">
        <v>-2</v>
      </c>
      <c r="AE62" s="61">
        <v>-2</v>
      </c>
      <c r="AF62" s="61">
        <v>-2</v>
      </c>
      <c r="AG62" s="61">
        <v>-2</v>
      </c>
      <c r="AH62" s="61">
        <v>-2</v>
      </c>
      <c r="AI62" s="61">
        <v>-2</v>
      </c>
      <c r="AJ62" s="61">
        <v>-2</v>
      </c>
      <c r="AK62" s="61">
        <v>-2</v>
      </c>
      <c r="AL62" s="61">
        <v>-2</v>
      </c>
      <c r="AM62" s="61">
        <v>-2</v>
      </c>
      <c r="AN62" s="61">
        <v>-2</v>
      </c>
      <c r="AO62" s="61">
        <v>-2</v>
      </c>
      <c r="AP62" s="61">
        <v>-2</v>
      </c>
      <c r="AQ62" s="61">
        <v>-2</v>
      </c>
      <c r="AR62" s="61">
        <v>-2</v>
      </c>
      <c r="AS62" s="61">
        <v>-2</v>
      </c>
      <c r="AT62" s="91">
        <v>-1</v>
      </c>
      <c r="AU62" s="91">
        <v>-2</v>
      </c>
      <c r="AV62" s="91">
        <v>-2</v>
      </c>
      <c r="AW62" s="91">
        <v>-1</v>
      </c>
      <c r="AX62" s="91">
        <v>-2</v>
      </c>
      <c r="AY62" s="91">
        <v>-2</v>
      </c>
      <c r="AZ62" s="91">
        <v>-2</v>
      </c>
      <c r="BA62" s="91">
        <v>-2</v>
      </c>
      <c r="BB62" s="91">
        <v>-2</v>
      </c>
      <c r="BC62" s="91">
        <v>-2</v>
      </c>
      <c r="BD62" s="91">
        <v>0</v>
      </c>
      <c r="BE62" s="91">
        <v>-2</v>
      </c>
      <c r="BF62" s="91">
        <v>-2</v>
      </c>
      <c r="BG62" s="91">
        <v>-2</v>
      </c>
      <c r="BH62" s="91">
        <v>-2</v>
      </c>
      <c r="BI62" s="91">
        <v>-2</v>
      </c>
      <c r="BJ62" s="91">
        <v>-2</v>
      </c>
      <c r="BK62" s="91">
        <v>-1</v>
      </c>
      <c r="BL62" s="91">
        <v>-1</v>
      </c>
      <c r="BM62" s="91">
        <v>-2</v>
      </c>
      <c r="BN62" s="91">
        <v>0</v>
      </c>
      <c r="BO62" s="91">
        <v>-2</v>
      </c>
      <c r="BP62" s="91">
        <v>-2</v>
      </c>
      <c r="BQ62" s="91">
        <v>-2</v>
      </c>
      <c r="BR62" s="91">
        <v>-2</v>
      </c>
      <c r="BS62" s="91">
        <v>-2</v>
      </c>
      <c r="BT62" s="91">
        <v>-2</v>
      </c>
    </row>
    <row r="63" spans="2:72" x14ac:dyDescent="0.2">
      <c r="B63" s="77" t="s">
        <v>4225</v>
      </c>
      <c r="C63" s="12">
        <f t="shared" si="117"/>
        <v>21</v>
      </c>
      <c r="D63" s="42">
        <f t="shared" si="118"/>
        <v>64.634535588892433</v>
      </c>
      <c r="E63" s="42">
        <f t="shared" si="119"/>
        <v>1.6417172039578816</v>
      </c>
      <c r="F63" s="43"/>
      <c r="G63" s="23">
        <v>29</v>
      </c>
      <c r="H63" s="61">
        <v>-2</v>
      </c>
      <c r="I63" s="61">
        <v>-2</v>
      </c>
      <c r="J63" s="61">
        <v>-2</v>
      </c>
      <c r="K63" s="61">
        <v>-2</v>
      </c>
      <c r="L63" s="61">
        <v>-2</v>
      </c>
      <c r="M63" s="61">
        <v>-2</v>
      </c>
      <c r="N63" s="61">
        <v>-2</v>
      </c>
      <c r="O63" s="61">
        <v>-2</v>
      </c>
      <c r="P63" s="61">
        <v>-2</v>
      </c>
      <c r="Q63" s="61">
        <v>-2</v>
      </c>
      <c r="R63" s="61">
        <v>-2</v>
      </c>
      <c r="S63" s="61">
        <v>-2</v>
      </c>
      <c r="T63" s="61">
        <v>-2</v>
      </c>
      <c r="U63" s="61">
        <v>-2</v>
      </c>
      <c r="V63" s="61">
        <v>-2</v>
      </c>
      <c r="W63" s="61">
        <v>-2</v>
      </c>
      <c r="X63" s="61">
        <v>-2</v>
      </c>
      <c r="Y63" s="61">
        <v>-2</v>
      </c>
      <c r="Z63" s="61">
        <v>-2</v>
      </c>
      <c r="AA63" s="61">
        <v>-2</v>
      </c>
      <c r="AB63" s="61">
        <v>-2</v>
      </c>
      <c r="AC63" s="61">
        <v>-2</v>
      </c>
      <c r="AD63" s="61">
        <v>-2</v>
      </c>
      <c r="AE63" s="61">
        <v>-2</v>
      </c>
      <c r="AF63" s="61">
        <v>-2</v>
      </c>
      <c r="AG63" s="61">
        <v>-2</v>
      </c>
      <c r="AH63" s="61">
        <v>-2</v>
      </c>
      <c r="AI63" s="61">
        <v>-2</v>
      </c>
      <c r="AJ63" s="61">
        <v>-2</v>
      </c>
      <c r="AK63" s="61">
        <v>-2</v>
      </c>
      <c r="AL63" s="61">
        <v>-2</v>
      </c>
      <c r="AM63" s="61">
        <v>-2</v>
      </c>
      <c r="AN63" s="61">
        <v>-2</v>
      </c>
      <c r="AO63" s="61">
        <v>-2</v>
      </c>
      <c r="AP63" s="61">
        <v>-2</v>
      </c>
      <c r="AQ63" s="61">
        <v>-2</v>
      </c>
      <c r="AR63" s="61">
        <v>-2</v>
      </c>
      <c r="AS63" s="61">
        <v>-2</v>
      </c>
      <c r="AT63" s="91">
        <v>-1</v>
      </c>
      <c r="AU63" s="91">
        <v>-2</v>
      </c>
      <c r="AV63" s="91">
        <v>-2</v>
      </c>
      <c r="AW63" s="91">
        <v>-1</v>
      </c>
      <c r="AX63" s="91">
        <v>-1</v>
      </c>
      <c r="AY63" s="91">
        <v>-1</v>
      </c>
      <c r="AZ63" s="91">
        <v>-1</v>
      </c>
      <c r="BA63" s="91">
        <v>-1</v>
      </c>
      <c r="BB63" s="91">
        <v>-1</v>
      </c>
      <c r="BC63" s="91">
        <v>-2</v>
      </c>
      <c r="BD63" s="91">
        <v>0</v>
      </c>
      <c r="BE63" s="91">
        <v>-1</v>
      </c>
      <c r="BF63" s="91">
        <v>-1</v>
      </c>
      <c r="BG63" s="91">
        <v>-1</v>
      </c>
      <c r="BH63" s="91">
        <v>-2</v>
      </c>
      <c r="BI63" s="91">
        <v>-2</v>
      </c>
      <c r="BJ63" s="91">
        <v>-2</v>
      </c>
      <c r="BK63" s="91">
        <v>-1</v>
      </c>
      <c r="BL63" s="91">
        <v>-1</v>
      </c>
      <c r="BM63" s="91">
        <v>-2</v>
      </c>
      <c r="BN63" s="91">
        <v>0</v>
      </c>
      <c r="BO63" s="91">
        <v>-2</v>
      </c>
      <c r="BP63" s="91">
        <v>-2</v>
      </c>
      <c r="BQ63" s="91">
        <v>-2</v>
      </c>
      <c r="BR63" s="91">
        <v>-2</v>
      </c>
      <c r="BS63" s="91">
        <v>-2</v>
      </c>
      <c r="BT63" s="91">
        <v>-2</v>
      </c>
    </row>
    <row r="64" spans="2:72" x14ac:dyDescent="0.2">
      <c r="B64" s="77" t="s">
        <v>4058</v>
      </c>
      <c r="C64" s="12">
        <f t="shared" si="117"/>
        <v>22</v>
      </c>
      <c r="D64" s="42">
        <f t="shared" si="118"/>
        <v>46.243434574103681</v>
      </c>
      <c r="E64" s="42">
        <f t="shared" si="119"/>
        <v>1.1745832381822368</v>
      </c>
      <c r="F64" s="43"/>
      <c r="G64" s="23">
        <v>30</v>
      </c>
      <c r="H64" s="61">
        <v>-1</v>
      </c>
      <c r="I64" s="61">
        <v>-1</v>
      </c>
      <c r="J64" s="61">
        <v>-1</v>
      </c>
      <c r="K64" s="61">
        <v>-1</v>
      </c>
      <c r="L64" s="61">
        <v>-1</v>
      </c>
      <c r="M64" s="61">
        <v>-1</v>
      </c>
      <c r="N64" s="61">
        <v>-1</v>
      </c>
      <c r="O64" s="61">
        <v>-1</v>
      </c>
      <c r="P64" s="61">
        <v>-1</v>
      </c>
      <c r="Q64" s="61">
        <v>-1</v>
      </c>
      <c r="R64" s="61">
        <v>-1</v>
      </c>
      <c r="S64" s="61">
        <v>-1</v>
      </c>
      <c r="T64" s="61">
        <v>-1</v>
      </c>
      <c r="U64" s="61">
        <v>-1</v>
      </c>
      <c r="V64" s="61">
        <v>-1</v>
      </c>
      <c r="W64" s="61">
        <v>-1</v>
      </c>
      <c r="X64" s="61">
        <v>-1</v>
      </c>
      <c r="Y64" s="61">
        <v>-1</v>
      </c>
      <c r="Z64" s="61">
        <v>-1</v>
      </c>
      <c r="AA64" s="61">
        <v>-1</v>
      </c>
      <c r="AB64" s="61">
        <v>-1</v>
      </c>
      <c r="AC64" s="61">
        <v>-1</v>
      </c>
      <c r="AD64" s="61">
        <v>-1</v>
      </c>
      <c r="AE64" s="61">
        <v>-1</v>
      </c>
      <c r="AF64" s="61">
        <v>-1</v>
      </c>
      <c r="AG64" s="61">
        <v>-1</v>
      </c>
      <c r="AH64" s="61">
        <v>-1</v>
      </c>
      <c r="AI64" s="61">
        <v>-1</v>
      </c>
      <c r="AJ64" s="61">
        <v>-1</v>
      </c>
      <c r="AK64" s="61">
        <v>-1</v>
      </c>
      <c r="AL64" s="61">
        <v>-1</v>
      </c>
      <c r="AM64" s="61">
        <v>-1</v>
      </c>
      <c r="AN64" s="61">
        <v>-1</v>
      </c>
      <c r="AO64" s="61">
        <v>-1</v>
      </c>
      <c r="AP64" s="61">
        <v>-1</v>
      </c>
      <c r="AQ64" s="61">
        <v>-1</v>
      </c>
      <c r="AR64" s="61">
        <v>-1</v>
      </c>
      <c r="AS64" s="61">
        <v>-1</v>
      </c>
      <c r="AT64" s="91">
        <v>-1</v>
      </c>
      <c r="AU64" s="91">
        <v>-2</v>
      </c>
      <c r="AV64" s="91">
        <v>-2</v>
      </c>
      <c r="AW64" s="91">
        <v>-1</v>
      </c>
      <c r="AX64" s="91">
        <v>-1</v>
      </c>
      <c r="AY64" s="91">
        <v>-1</v>
      </c>
      <c r="AZ64" s="91">
        <v>-1</v>
      </c>
      <c r="BA64" s="91">
        <v>-1</v>
      </c>
      <c r="BB64" s="91">
        <v>-1</v>
      </c>
      <c r="BC64" s="91">
        <v>-2</v>
      </c>
      <c r="BD64" s="91">
        <v>0</v>
      </c>
      <c r="BE64" s="91">
        <v>-1</v>
      </c>
      <c r="BF64" s="91">
        <v>-1</v>
      </c>
      <c r="BG64" s="91">
        <v>-1</v>
      </c>
      <c r="BH64" s="91">
        <v>-2</v>
      </c>
      <c r="BI64" s="91">
        <v>-2</v>
      </c>
      <c r="BJ64" s="91">
        <v>-2</v>
      </c>
      <c r="BK64" s="91">
        <v>-1</v>
      </c>
      <c r="BL64" s="91">
        <v>-1</v>
      </c>
      <c r="BM64" s="91">
        <v>-2</v>
      </c>
      <c r="BN64" s="91">
        <v>0</v>
      </c>
      <c r="BO64" s="91">
        <v>-2</v>
      </c>
      <c r="BP64" s="91">
        <v>-2</v>
      </c>
      <c r="BQ64" s="91">
        <v>-2</v>
      </c>
      <c r="BR64" s="91">
        <v>-2</v>
      </c>
      <c r="BS64" s="91">
        <v>-2</v>
      </c>
      <c r="BT64" s="91">
        <v>-2</v>
      </c>
    </row>
    <row r="65" spans="2:72" x14ac:dyDescent="0.2">
      <c r="B65" s="77" t="s">
        <v>4254</v>
      </c>
      <c r="C65" s="12">
        <f t="shared" si="117"/>
        <v>23</v>
      </c>
      <c r="D65" s="42">
        <f t="shared" si="118"/>
        <v>40.80938615881653</v>
      </c>
      <c r="E65" s="42">
        <f t="shared" si="119"/>
        <v>1.0365584084339474</v>
      </c>
      <c r="F65" s="43"/>
      <c r="G65" s="23">
        <v>31</v>
      </c>
      <c r="H65" s="61">
        <v>-1</v>
      </c>
      <c r="I65" s="61">
        <v>-1</v>
      </c>
      <c r="J65" s="61">
        <v>-1</v>
      </c>
      <c r="K65" s="61">
        <v>-1</v>
      </c>
      <c r="L65" s="61">
        <v>-1</v>
      </c>
      <c r="M65" s="61">
        <v>-1</v>
      </c>
      <c r="N65" s="61">
        <v>-1</v>
      </c>
      <c r="O65" s="61">
        <v>-1</v>
      </c>
      <c r="P65" s="61">
        <v>-1</v>
      </c>
      <c r="Q65" s="61">
        <v>-1</v>
      </c>
      <c r="R65" s="61">
        <v>-1</v>
      </c>
      <c r="S65" s="61">
        <v>-1</v>
      </c>
      <c r="T65" s="61">
        <v>-1</v>
      </c>
      <c r="U65" s="61">
        <v>-1</v>
      </c>
      <c r="V65" s="61">
        <v>-1</v>
      </c>
      <c r="W65" s="61">
        <v>-1</v>
      </c>
      <c r="X65" s="61">
        <v>-1</v>
      </c>
      <c r="Y65" s="61">
        <v>-1</v>
      </c>
      <c r="Z65" s="61">
        <v>-1</v>
      </c>
      <c r="AA65" s="61">
        <v>-1</v>
      </c>
      <c r="AB65" s="61">
        <v>-1</v>
      </c>
      <c r="AC65" s="61">
        <v>-1</v>
      </c>
      <c r="AD65" s="61">
        <v>-1</v>
      </c>
      <c r="AE65" s="61">
        <v>-1</v>
      </c>
      <c r="AF65" s="61">
        <v>-1</v>
      </c>
      <c r="AG65" s="61">
        <v>-1</v>
      </c>
      <c r="AH65" s="61">
        <v>-1</v>
      </c>
      <c r="AI65" s="61">
        <v>-1</v>
      </c>
      <c r="AJ65" s="61">
        <v>-1</v>
      </c>
      <c r="AK65" s="61">
        <v>-1</v>
      </c>
      <c r="AL65" s="61">
        <v>-1</v>
      </c>
      <c r="AM65" s="61">
        <v>-1</v>
      </c>
      <c r="AN65" s="61">
        <v>-1</v>
      </c>
      <c r="AO65" s="61">
        <v>-1</v>
      </c>
      <c r="AP65" s="61">
        <v>-1</v>
      </c>
      <c r="AQ65" s="61">
        <v>-1</v>
      </c>
      <c r="AR65" s="61">
        <v>-1</v>
      </c>
      <c r="AS65" s="61">
        <v>-1</v>
      </c>
      <c r="AT65" s="91">
        <v>-1</v>
      </c>
      <c r="AU65" s="91">
        <v>-2</v>
      </c>
      <c r="AV65" s="91">
        <v>-2</v>
      </c>
      <c r="AW65" s="91">
        <v>0</v>
      </c>
      <c r="AX65" s="91">
        <v>-1</v>
      </c>
      <c r="AY65" s="91">
        <v>-1</v>
      </c>
      <c r="AZ65" s="91">
        <v>-1</v>
      </c>
      <c r="BA65" s="91">
        <v>-1</v>
      </c>
      <c r="BB65" s="91">
        <v>-1</v>
      </c>
      <c r="BC65" s="91">
        <v>-2</v>
      </c>
      <c r="BD65" s="91">
        <v>0</v>
      </c>
      <c r="BE65" s="91">
        <v>-1</v>
      </c>
      <c r="BF65" s="91">
        <v>-1</v>
      </c>
      <c r="BG65" s="91">
        <v>-1</v>
      </c>
      <c r="BH65" s="91">
        <v>-2</v>
      </c>
      <c r="BI65" s="91">
        <v>-2</v>
      </c>
      <c r="BJ65" s="91">
        <v>-2</v>
      </c>
      <c r="BK65" s="91">
        <v>0</v>
      </c>
      <c r="BL65" s="91">
        <v>0</v>
      </c>
      <c r="BM65" s="91">
        <v>-2</v>
      </c>
      <c r="BN65" s="91">
        <v>0</v>
      </c>
      <c r="BO65" s="91">
        <v>-2</v>
      </c>
      <c r="BP65" s="91">
        <v>-2</v>
      </c>
      <c r="BQ65" s="91">
        <v>-2</v>
      </c>
      <c r="BR65" s="91">
        <v>-2</v>
      </c>
      <c r="BS65" s="91">
        <v>-2</v>
      </c>
      <c r="BT65" s="91">
        <v>-2</v>
      </c>
    </row>
    <row r="66" spans="2:72" x14ac:dyDescent="0.2">
      <c r="B66" s="77" t="s">
        <v>4259</v>
      </c>
      <c r="C66" s="12">
        <f t="shared" si="117"/>
        <v>24</v>
      </c>
      <c r="D66" s="42">
        <f t="shared" si="118"/>
        <v>16.975641302004743</v>
      </c>
      <c r="E66" s="42">
        <f t="shared" si="119"/>
        <v>0.43118128907092057</v>
      </c>
      <c r="G66" s="23">
        <v>32</v>
      </c>
      <c r="H66" s="61">
        <v>-1</v>
      </c>
      <c r="I66" s="61">
        <v>-1</v>
      </c>
      <c r="J66" s="61">
        <v>-1</v>
      </c>
      <c r="K66" s="61">
        <v>-1</v>
      </c>
      <c r="L66" s="61">
        <v>-1</v>
      </c>
      <c r="M66" s="61">
        <v>-1</v>
      </c>
      <c r="N66" s="61">
        <v>-1</v>
      </c>
      <c r="O66" s="61">
        <v>-1</v>
      </c>
      <c r="P66" s="61">
        <v>-1</v>
      </c>
      <c r="Q66" s="61">
        <v>-1</v>
      </c>
      <c r="R66" s="61">
        <v>-1</v>
      </c>
      <c r="S66" s="61">
        <v>-1</v>
      </c>
      <c r="T66" s="61">
        <v>-1</v>
      </c>
      <c r="U66" s="61">
        <v>-1</v>
      </c>
      <c r="V66" s="61">
        <v>-1</v>
      </c>
      <c r="W66" s="61">
        <v>-1</v>
      </c>
      <c r="X66" s="61">
        <v>-1</v>
      </c>
      <c r="Y66" s="61">
        <v>-1</v>
      </c>
      <c r="Z66" s="61">
        <v>-1</v>
      </c>
      <c r="AA66" s="61">
        <v>-1</v>
      </c>
      <c r="AB66" s="61">
        <v>-1</v>
      </c>
      <c r="AC66" s="61">
        <v>-1</v>
      </c>
      <c r="AD66" s="61">
        <v>-1</v>
      </c>
      <c r="AE66" s="61">
        <v>-1</v>
      </c>
      <c r="AF66" s="61">
        <v>-1</v>
      </c>
      <c r="AG66" s="61">
        <v>-1</v>
      </c>
      <c r="AH66" s="61">
        <v>-1</v>
      </c>
      <c r="AI66" s="61">
        <v>-1</v>
      </c>
      <c r="AJ66" s="61">
        <v>-1</v>
      </c>
      <c r="AK66" s="61">
        <v>-1</v>
      </c>
      <c r="AL66" s="61">
        <v>-1</v>
      </c>
      <c r="AM66" s="61">
        <v>-1</v>
      </c>
      <c r="AN66" s="61">
        <v>-1</v>
      </c>
      <c r="AO66" s="61">
        <v>-1</v>
      </c>
      <c r="AP66" s="61">
        <v>-1</v>
      </c>
      <c r="AQ66" s="61">
        <v>-1</v>
      </c>
      <c r="AR66" s="61">
        <v>-1</v>
      </c>
      <c r="AS66" s="61">
        <v>-1</v>
      </c>
      <c r="AT66" s="91">
        <v>-1</v>
      </c>
      <c r="AU66" s="91">
        <v>-1</v>
      </c>
      <c r="AV66" s="91">
        <v>-1</v>
      </c>
      <c r="AW66" s="91">
        <v>0</v>
      </c>
      <c r="AX66" s="91">
        <v>-1</v>
      </c>
      <c r="AY66" s="91">
        <v>-1</v>
      </c>
      <c r="AZ66" s="91">
        <v>-1</v>
      </c>
      <c r="BA66" s="91">
        <v>-1</v>
      </c>
      <c r="BB66" s="91">
        <v>-1</v>
      </c>
      <c r="BC66" s="91">
        <v>-2</v>
      </c>
      <c r="BD66" s="91">
        <v>0</v>
      </c>
      <c r="BE66" s="91">
        <v>-1</v>
      </c>
      <c r="BF66" s="91">
        <v>-1</v>
      </c>
      <c r="BG66" s="91">
        <v>-1</v>
      </c>
      <c r="BH66" s="91">
        <v>-1</v>
      </c>
      <c r="BI66" s="91">
        <v>-1</v>
      </c>
      <c r="BJ66" s="91">
        <v>-1</v>
      </c>
      <c r="BK66" s="91">
        <v>0</v>
      </c>
      <c r="BL66" s="91">
        <v>0</v>
      </c>
      <c r="BM66" s="91">
        <v>-2</v>
      </c>
      <c r="BN66" s="91">
        <v>0</v>
      </c>
      <c r="BO66" s="91">
        <v>-2</v>
      </c>
      <c r="BP66" s="91">
        <v>-2</v>
      </c>
      <c r="BQ66" s="91">
        <v>-2</v>
      </c>
      <c r="BR66" s="91">
        <v>-2</v>
      </c>
      <c r="BS66" s="91">
        <v>-2</v>
      </c>
      <c r="BT66" s="91">
        <v>-2</v>
      </c>
    </row>
    <row r="67" spans="2:72" x14ac:dyDescent="0.2">
      <c r="B67" s="77" t="s">
        <v>4041</v>
      </c>
      <c r="C67" s="12">
        <f t="shared" si="117"/>
        <v>25</v>
      </c>
      <c r="D67" s="42">
        <f t="shared" si="118"/>
        <v>40.40667361835245</v>
      </c>
      <c r="E67" s="42">
        <f t="shared" si="119"/>
        <v>1.026329509906148</v>
      </c>
      <c r="G67" s="23">
        <v>33</v>
      </c>
      <c r="H67" s="61">
        <v>-1</v>
      </c>
      <c r="I67" s="61">
        <v>-1</v>
      </c>
      <c r="J67" s="61">
        <v>-1</v>
      </c>
      <c r="K67" s="61">
        <v>-1</v>
      </c>
      <c r="L67" s="61">
        <v>-1</v>
      </c>
      <c r="M67" s="61">
        <v>-1</v>
      </c>
      <c r="N67" s="61">
        <v>-1</v>
      </c>
      <c r="O67" s="61">
        <v>-1</v>
      </c>
      <c r="P67" s="61">
        <v>-1</v>
      </c>
      <c r="Q67" s="61">
        <v>-1</v>
      </c>
      <c r="R67" s="61">
        <v>-1</v>
      </c>
      <c r="S67" s="61">
        <v>-1</v>
      </c>
      <c r="T67" s="61">
        <v>-1</v>
      </c>
      <c r="U67" s="61">
        <v>-1</v>
      </c>
      <c r="V67" s="61">
        <v>-1</v>
      </c>
      <c r="W67" s="61">
        <v>-1</v>
      </c>
      <c r="X67" s="61">
        <v>-1</v>
      </c>
      <c r="Y67" s="61">
        <v>-1</v>
      </c>
      <c r="Z67" s="61">
        <v>-1</v>
      </c>
      <c r="AA67" s="61">
        <v>-1</v>
      </c>
      <c r="AB67" s="61">
        <v>-1</v>
      </c>
      <c r="AC67" s="61">
        <v>-1</v>
      </c>
      <c r="AD67" s="61">
        <v>-1</v>
      </c>
      <c r="AE67" s="61">
        <v>-1</v>
      </c>
      <c r="AF67" s="61">
        <v>-1</v>
      </c>
      <c r="AG67" s="61">
        <v>-1</v>
      </c>
      <c r="AH67" s="61">
        <v>-1</v>
      </c>
      <c r="AI67" s="61">
        <v>-1</v>
      </c>
      <c r="AJ67" s="61">
        <v>-1</v>
      </c>
      <c r="AK67" s="61">
        <v>-1</v>
      </c>
      <c r="AL67" s="61">
        <v>-1</v>
      </c>
      <c r="AM67" s="61">
        <v>-1</v>
      </c>
      <c r="AN67" s="61">
        <v>-1</v>
      </c>
      <c r="AO67" s="61">
        <v>-1</v>
      </c>
      <c r="AP67" s="61">
        <v>-1</v>
      </c>
      <c r="AQ67" s="61">
        <v>-1</v>
      </c>
      <c r="AR67" s="61">
        <v>-1</v>
      </c>
      <c r="AS67" s="61">
        <v>-1</v>
      </c>
      <c r="AT67" s="91">
        <v>-1</v>
      </c>
      <c r="AU67" s="91">
        <v>-1</v>
      </c>
      <c r="AV67" s="91">
        <v>-1</v>
      </c>
      <c r="AW67" s="91">
        <v>0</v>
      </c>
      <c r="AX67" s="91">
        <v>-1</v>
      </c>
      <c r="AY67" s="91">
        <v>-1</v>
      </c>
      <c r="AZ67" s="91">
        <v>-1</v>
      </c>
      <c r="BA67" s="91">
        <v>-1</v>
      </c>
      <c r="BB67" s="91">
        <v>-1</v>
      </c>
      <c r="BC67" s="91">
        <v>-2</v>
      </c>
      <c r="BD67" s="91">
        <v>0</v>
      </c>
      <c r="BE67" s="91">
        <v>-1</v>
      </c>
      <c r="BF67" s="91">
        <v>-1</v>
      </c>
      <c r="BG67" s="91">
        <v>-1</v>
      </c>
      <c r="BH67" s="91">
        <v>-1</v>
      </c>
      <c r="BI67" s="91">
        <v>-1</v>
      </c>
      <c r="BJ67" s="91">
        <v>-1</v>
      </c>
      <c r="BK67" s="91">
        <v>0</v>
      </c>
      <c r="BL67" s="91">
        <v>0</v>
      </c>
      <c r="BM67" s="91">
        <v>-2</v>
      </c>
      <c r="BN67" s="91">
        <v>0</v>
      </c>
      <c r="BO67" s="91">
        <v>-2</v>
      </c>
      <c r="BP67" s="91">
        <v>-2</v>
      </c>
      <c r="BQ67" s="91">
        <v>-2</v>
      </c>
      <c r="BR67" s="91">
        <v>-2</v>
      </c>
      <c r="BS67" s="91">
        <v>-2</v>
      </c>
      <c r="BT67" s="91">
        <v>-2</v>
      </c>
    </row>
    <row r="68" spans="2:72" x14ac:dyDescent="0.2">
      <c r="B68" s="77" t="s">
        <v>4230</v>
      </c>
      <c r="C68" s="12">
        <f t="shared" si="117"/>
        <v>26</v>
      </c>
      <c r="D68" s="42">
        <f t="shared" si="118"/>
        <v>63.688488895340399</v>
      </c>
      <c r="E68" s="42">
        <f t="shared" si="119"/>
        <v>1.6176876179416411</v>
      </c>
      <c r="G68" s="23">
        <v>34</v>
      </c>
      <c r="H68" s="61">
        <v>-1</v>
      </c>
      <c r="I68" s="61">
        <v>-1</v>
      </c>
      <c r="J68" s="61">
        <v>-1</v>
      </c>
      <c r="K68" s="61">
        <v>-1</v>
      </c>
      <c r="L68" s="61">
        <v>-1</v>
      </c>
      <c r="M68" s="61">
        <v>-1</v>
      </c>
      <c r="N68" s="61">
        <v>-1</v>
      </c>
      <c r="O68" s="61">
        <v>-1</v>
      </c>
      <c r="P68" s="61">
        <v>-1</v>
      </c>
      <c r="Q68" s="61">
        <v>-1</v>
      </c>
      <c r="R68" s="61">
        <v>-1</v>
      </c>
      <c r="S68" s="61">
        <v>-1</v>
      </c>
      <c r="T68" s="61">
        <v>-1</v>
      </c>
      <c r="U68" s="61">
        <v>-1</v>
      </c>
      <c r="V68" s="61">
        <v>-1</v>
      </c>
      <c r="W68" s="61">
        <v>-1</v>
      </c>
      <c r="X68" s="61">
        <v>-1</v>
      </c>
      <c r="Y68" s="61">
        <v>-1</v>
      </c>
      <c r="Z68" s="61">
        <v>-1</v>
      </c>
      <c r="AA68" s="61">
        <v>-1</v>
      </c>
      <c r="AB68" s="61">
        <v>-1</v>
      </c>
      <c r="AC68" s="61">
        <v>-1</v>
      </c>
      <c r="AD68" s="61">
        <v>-1</v>
      </c>
      <c r="AE68" s="61">
        <v>-1</v>
      </c>
      <c r="AF68" s="61">
        <v>-1</v>
      </c>
      <c r="AG68" s="61">
        <v>-1</v>
      </c>
      <c r="AH68" s="61">
        <v>-1</v>
      </c>
      <c r="AI68" s="61">
        <v>-1</v>
      </c>
      <c r="AJ68" s="61">
        <v>-1</v>
      </c>
      <c r="AK68" s="61">
        <v>-1</v>
      </c>
      <c r="AL68" s="61">
        <v>-1</v>
      </c>
      <c r="AM68" s="61">
        <v>-1</v>
      </c>
      <c r="AN68" s="61">
        <v>-1</v>
      </c>
      <c r="AO68" s="61">
        <v>-1</v>
      </c>
      <c r="AP68" s="61">
        <v>-1</v>
      </c>
      <c r="AQ68" s="61">
        <v>-1</v>
      </c>
      <c r="AR68" s="61">
        <v>-1</v>
      </c>
      <c r="AS68" s="61">
        <v>-1</v>
      </c>
      <c r="AT68" s="91">
        <v>-1</v>
      </c>
      <c r="AU68" s="91">
        <v>-1</v>
      </c>
      <c r="AV68" s="91">
        <v>-1</v>
      </c>
      <c r="AW68" s="91">
        <v>0</v>
      </c>
      <c r="AX68" s="91">
        <v>-1</v>
      </c>
      <c r="AY68" s="91">
        <v>-1</v>
      </c>
      <c r="AZ68" s="91">
        <v>-1</v>
      </c>
      <c r="BA68" s="91">
        <v>-1</v>
      </c>
      <c r="BB68" s="91">
        <v>-1</v>
      </c>
      <c r="BC68" s="91">
        <v>-2</v>
      </c>
      <c r="BD68" s="91">
        <v>0</v>
      </c>
      <c r="BE68" s="91">
        <v>-1</v>
      </c>
      <c r="BF68" s="91">
        <v>-1</v>
      </c>
      <c r="BG68" s="91">
        <v>-1</v>
      </c>
      <c r="BH68" s="91">
        <v>-1</v>
      </c>
      <c r="BI68" s="91">
        <v>-1</v>
      </c>
      <c r="BJ68" s="91">
        <v>-1</v>
      </c>
      <c r="BK68" s="91">
        <v>0</v>
      </c>
      <c r="BL68" s="91">
        <v>0</v>
      </c>
      <c r="BM68" s="91">
        <v>-2</v>
      </c>
      <c r="BN68" s="91">
        <v>0</v>
      </c>
      <c r="BO68" s="91">
        <v>-2</v>
      </c>
      <c r="BP68" s="91">
        <v>-2</v>
      </c>
      <c r="BQ68" s="91">
        <v>-2</v>
      </c>
      <c r="BR68" s="91">
        <v>-2</v>
      </c>
      <c r="BS68" s="91">
        <v>-2</v>
      </c>
      <c r="BT68" s="91">
        <v>-2</v>
      </c>
    </row>
    <row r="69" spans="2:72" x14ac:dyDescent="0.2">
      <c r="B69" s="77" t="s">
        <v>4059</v>
      </c>
      <c r="C69" s="12">
        <f t="shared" si="117"/>
        <v>27</v>
      </c>
      <c r="D69" s="42">
        <f t="shared" si="118"/>
        <v>44.255466851787574</v>
      </c>
      <c r="E69" s="42">
        <f t="shared" si="119"/>
        <v>1.1240888580354067</v>
      </c>
      <c r="G69" s="23">
        <v>35</v>
      </c>
      <c r="H69" s="61">
        <v>-1</v>
      </c>
      <c r="I69" s="61">
        <v>-1</v>
      </c>
      <c r="J69" s="61">
        <v>-1</v>
      </c>
      <c r="K69" s="61">
        <v>-1</v>
      </c>
      <c r="L69" s="61">
        <v>-1</v>
      </c>
      <c r="M69" s="61">
        <v>-1</v>
      </c>
      <c r="N69" s="61">
        <v>-1</v>
      </c>
      <c r="O69" s="61">
        <v>-1</v>
      </c>
      <c r="P69" s="61">
        <v>-1</v>
      </c>
      <c r="Q69" s="61">
        <v>-1</v>
      </c>
      <c r="R69" s="61">
        <v>-1</v>
      </c>
      <c r="S69" s="61">
        <v>-1</v>
      </c>
      <c r="T69" s="61">
        <v>-1</v>
      </c>
      <c r="U69" s="61">
        <v>-1</v>
      </c>
      <c r="V69" s="61">
        <v>-1</v>
      </c>
      <c r="W69" s="61">
        <v>-1</v>
      </c>
      <c r="X69" s="61">
        <v>-1</v>
      </c>
      <c r="Y69" s="61">
        <v>-1</v>
      </c>
      <c r="Z69" s="61">
        <v>-1</v>
      </c>
      <c r="AA69" s="61">
        <v>-1</v>
      </c>
      <c r="AB69" s="61">
        <v>-1</v>
      </c>
      <c r="AC69" s="61">
        <v>-1</v>
      </c>
      <c r="AD69" s="61">
        <v>-1</v>
      </c>
      <c r="AE69" s="61">
        <v>-1</v>
      </c>
      <c r="AF69" s="61">
        <v>-1</v>
      </c>
      <c r="AG69" s="61">
        <v>-1</v>
      </c>
      <c r="AH69" s="61">
        <v>-1</v>
      </c>
      <c r="AI69" s="61">
        <v>-1</v>
      </c>
      <c r="AJ69" s="61">
        <v>-1</v>
      </c>
      <c r="AK69" s="61">
        <v>-1</v>
      </c>
      <c r="AL69" s="61">
        <v>-1</v>
      </c>
      <c r="AM69" s="61">
        <v>-1</v>
      </c>
      <c r="AN69" s="61">
        <v>-1</v>
      </c>
      <c r="AO69" s="61">
        <v>-1</v>
      </c>
      <c r="AP69" s="61">
        <v>-1</v>
      </c>
      <c r="AQ69" s="61">
        <v>-1</v>
      </c>
      <c r="AR69" s="61">
        <v>-1</v>
      </c>
      <c r="AS69" s="61">
        <v>-1</v>
      </c>
      <c r="AT69" s="91">
        <v>-1</v>
      </c>
      <c r="AU69" s="91">
        <v>-1</v>
      </c>
      <c r="AV69" s="91">
        <v>-1</v>
      </c>
      <c r="AW69" s="91">
        <v>0</v>
      </c>
      <c r="AX69" s="91">
        <v>-1</v>
      </c>
      <c r="AY69" s="91">
        <v>-1</v>
      </c>
      <c r="AZ69" s="91">
        <v>-1</v>
      </c>
      <c r="BA69" s="91">
        <v>-1</v>
      </c>
      <c r="BB69" s="91">
        <v>-1</v>
      </c>
      <c r="BC69" s="91">
        <v>-2</v>
      </c>
      <c r="BD69" s="91">
        <v>0</v>
      </c>
      <c r="BE69" s="91">
        <v>-1</v>
      </c>
      <c r="BF69" s="91">
        <v>-1</v>
      </c>
      <c r="BG69" s="91">
        <v>-1</v>
      </c>
      <c r="BH69" s="91">
        <v>-1</v>
      </c>
      <c r="BI69" s="91">
        <v>-1</v>
      </c>
      <c r="BJ69" s="91">
        <v>-1</v>
      </c>
      <c r="BK69" s="91">
        <v>0</v>
      </c>
      <c r="BL69" s="91">
        <v>0</v>
      </c>
      <c r="BM69" s="91">
        <v>-2</v>
      </c>
      <c r="BN69" s="91">
        <v>0</v>
      </c>
      <c r="BO69" s="91">
        <v>-2</v>
      </c>
      <c r="BP69" s="91">
        <v>-2</v>
      </c>
      <c r="BQ69" s="91">
        <v>-2</v>
      </c>
      <c r="BR69" s="91">
        <v>-2</v>
      </c>
      <c r="BS69" s="91">
        <v>-2</v>
      </c>
      <c r="BT69" s="91">
        <v>-2</v>
      </c>
    </row>
    <row r="70" spans="2:72" x14ac:dyDescent="0.2">
      <c r="B70" s="77" t="s">
        <v>4068</v>
      </c>
      <c r="C70" s="12">
        <f t="shared" si="117"/>
        <v>28</v>
      </c>
      <c r="D70" s="42">
        <f t="shared" si="118"/>
        <v>53.047033544228242</v>
      </c>
      <c r="E70" s="42">
        <f t="shared" si="119"/>
        <v>1.3473946520233966</v>
      </c>
      <c r="G70" s="23">
        <v>36</v>
      </c>
      <c r="H70" s="61">
        <v>-1</v>
      </c>
      <c r="I70" s="61">
        <v>-1</v>
      </c>
      <c r="J70" s="61">
        <v>-1</v>
      </c>
      <c r="K70" s="61">
        <v>-1</v>
      </c>
      <c r="L70" s="61">
        <v>-1</v>
      </c>
      <c r="M70" s="61">
        <v>-1</v>
      </c>
      <c r="N70" s="61">
        <v>-1</v>
      </c>
      <c r="O70" s="61">
        <v>-1</v>
      </c>
      <c r="P70" s="61">
        <v>-1</v>
      </c>
      <c r="Q70" s="61">
        <v>-1</v>
      </c>
      <c r="R70" s="61">
        <v>-1</v>
      </c>
      <c r="S70" s="61">
        <v>-1</v>
      </c>
      <c r="T70" s="61">
        <v>-1</v>
      </c>
      <c r="U70" s="61">
        <v>-1</v>
      </c>
      <c r="V70" s="61">
        <v>-1</v>
      </c>
      <c r="W70" s="61">
        <v>-1</v>
      </c>
      <c r="X70" s="61">
        <v>-1</v>
      </c>
      <c r="Y70" s="61">
        <v>-1</v>
      </c>
      <c r="Z70" s="61">
        <v>-1</v>
      </c>
      <c r="AA70" s="61">
        <v>-1</v>
      </c>
      <c r="AB70" s="61">
        <v>-1</v>
      </c>
      <c r="AC70" s="61">
        <v>-1</v>
      </c>
      <c r="AD70" s="61">
        <v>-1</v>
      </c>
      <c r="AE70" s="61">
        <v>-1</v>
      </c>
      <c r="AF70" s="61">
        <v>-1</v>
      </c>
      <c r="AG70" s="61">
        <v>-1</v>
      </c>
      <c r="AH70" s="61">
        <v>-1</v>
      </c>
      <c r="AI70" s="61">
        <v>-1</v>
      </c>
      <c r="AJ70" s="61">
        <v>-1</v>
      </c>
      <c r="AK70" s="61">
        <v>-1</v>
      </c>
      <c r="AL70" s="61">
        <v>-1</v>
      </c>
      <c r="AM70" s="61">
        <v>-1</v>
      </c>
      <c r="AN70" s="61">
        <v>-1</v>
      </c>
      <c r="AO70" s="61">
        <v>-1</v>
      </c>
      <c r="AP70" s="61">
        <v>-1</v>
      </c>
      <c r="AQ70" s="61">
        <v>-1</v>
      </c>
      <c r="AR70" s="61">
        <v>-1</v>
      </c>
      <c r="AS70" s="61">
        <v>-1</v>
      </c>
      <c r="AT70" s="91">
        <v>-1</v>
      </c>
      <c r="AU70" s="91">
        <v>-1</v>
      </c>
      <c r="AV70" s="91">
        <v>-1</v>
      </c>
      <c r="AW70" s="91">
        <v>0</v>
      </c>
      <c r="AX70" s="91">
        <v>-1</v>
      </c>
      <c r="AY70" s="91">
        <v>-1</v>
      </c>
      <c r="AZ70" s="91">
        <v>-1</v>
      </c>
      <c r="BA70" s="91">
        <v>-1</v>
      </c>
      <c r="BB70" s="91">
        <v>-1</v>
      </c>
      <c r="BC70" s="91">
        <v>-1</v>
      </c>
      <c r="BD70" s="91">
        <v>0</v>
      </c>
      <c r="BE70" s="91">
        <v>-1</v>
      </c>
      <c r="BF70" s="91">
        <v>-1</v>
      </c>
      <c r="BG70" s="91">
        <v>-1</v>
      </c>
      <c r="BH70" s="91">
        <v>-1</v>
      </c>
      <c r="BI70" s="91">
        <v>-1</v>
      </c>
      <c r="BJ70" s="91">
        <v>-1</v>
      </c>
      <c r="BK70" s="91">
        <v>0</v>
      </c>
      <c r="BL70" s="91">
        <v>0</v>
      </c>
      <c r="BM70" s="91">
        <v>-1</v>
      </c>
      <c r="BN70" s="91">
        <v>0</v>
      </c>
      <c r="BO70" s="91">
        <v>-1</v>
      </c>
      <c r="BP70" s="91">
        <v>-1</v>
      </c>
      <c r="BQ70" s="91">
        <v>-1</v>
      </c>
      <c r="BR70" s="91">
        <v>-1</v>
      </c>
      <c r="BS70" s="91">
        <v>-1</v>
      </c>
      <c r="BT70" s="91">
        <v>-1</v>
      </c>
    </row>
    <row r="71" spans="2:72" x14ac:dyDescent="0.2">
      <c r="B71" s="77" t="s">
        <v>4060</v>
      </c>
      <c r="C71" s="12">
        <f t="shared" si="117"/>
        <v>29</v>
      </c>
      <c r="D71" s="42">
        <f t="shared" si="118"/>
        <v>47.657952069716771</v>
      </c>
      <c r="E71" s="42">
        <f t="shared" si="119"/>
        <v>1.2105119825708073</v>
      </c>
      <c r="G71" s="23">
        <v>37</v>
      </c>
      <c r="H71" s="61">
        <v>-1</v>
      </c>
      <c r="I71" s="61">
        <v>-1</v>
      </c>
      <c r="J71" s="61">
        <v>-1</v>
      </c>
      <c r="K71" s="61">
        <v>-1</v>
      </c>
      <c r="L71" s="61">
        <v>-1</v>
      </c>
      <c r="M71" s="61">
        <v>-1</v>
      </c>
      <c r="N71" s="61">
        <v>-1</v>
      </c>
      <c r="O71" s="61">
        <v>-1</v>
      </c>
      <c r="P71" s="61">
        <v>-1</v>
      </c>
      <c r="Q71" s="61">
        <v>-1</v>
      </c>
      <c r="R71" s="61">
        <v>-1</v>
      </c>
      <c r="S71" s="61">
        <v>-1</v>
      </c>
      <c r="T71" s="61">
        <v>-1</v>
      </c>
      <c r="U71" s="61">
        <v>-1</v>
      </c>
      <c r="V71" s="61">
        <v>-1</v>
      </c>
      <c r="W71" s="61">
        <v>-1</v>
      </c>
      <c r="X71" s="61">
        <v>-1</v>
      </c>
      <c r="Y71" s="61">
        <v>-1</v>
      </c>
      <c r="Z71" s="61">
        <v>-1</v>
      </c>
      <c r="AA71" s="61">
        <v>-1</v>
      </c>
      <c r="AB71" s="61">
        <v>-1</v>
      </c>
      <c r="AC71" s="61">
        <v>-1</v>
      </c>
      <c r="AD71" s="61">
        <v>-1</v>
      </c>
      <c r="AE71" s="61">
        <v>-1</v>
      </c>
      <c r="AF71" s="61">
        <v>-1</v>
      </c>
      <c r="AG71" s="61">
        <v>-1</v>
      </c>
      <c r="AH71" s="61">
        <v>-1</v>
      </c>
      <c r="AI71" s="61">
        <v>-1</v>
      </c>
      <c r="AJ71" s="61">
        <v>-1</v>
      </c>
      <c r="AK71" s="61">
        <v>-1</v>
      </c>
      <c r="AL71" s="61">
        <v>-1</v>
      </c>
      <c r="AM71" s="61">
        <v>-1</v>
      </c>
      <c r="AN71" s="61">
        <v>-1</v>
      </c>
      <c r="AO71" s="61">
        <v>-1</v>
      </c>
      <c r="AP71" s="61">
        <v>-1</v>
      </c>
      <c r="AQ71" s="61">
        <v>-1</v>
      </c>
      <c r="AR71" s="61">
        <v>-1</v>
      </c>
      <c r="AS71" s="61">
        <v>-1</v>
      </c>
      <c r="AT71" s="91">
        <v>-1</v>
      </c>
      <c r="AU71" s="91">
        <v>-1</v>
      </c>
      <c r="AV71" s="91">
        <v>-1</v>
      </c>
      <c r="AW71" s="91">
        <v>0</v>
      </c>
      <c r="AX71" s="91">
        <v>-1</v>
      </c>
      <c r="AY71" s="91">
        <v>-1</v>
      </c>
      <c r="AZ71" s="91">
        <v>-1</v>
      </c>
      <c r="BA71" s="91">
        <v>-1</v>
      </c>
      <c r="BB71" s="91">
        <v>-1</v>
      </c>
      <c r="BC71" s="91">
        <v>-1</v>
      </c>
      <c r="BD71" s="91">
        <v>0</v>
      </c>
      <c r="BE71" s="91">
        <v>-1</v>
      </c>
      <c r="BF71" s="91">
        <v>-1</v>
      </c>
      <c r="BG71" s="91">
        <v>-1</v>
      </c>
      <c r="BH71" s="91">
        <v>-1</v>
      </c>
      <c r="BI71" s="91">
        <v>-1</v>
      </c>
      <c r="BJ71" s="91">
        <v>-1</v>
      </c>
      <c r="BK71" s="91">
        <v>0</v>
      </c>
      <c r="BL71" s="91">
        <v>0</v>
      </c>
      <c r="BM71" s="91">
        <v>-1</v>
      </c>
      <c r="BN71" s="91">
        <v>0</v>
      </c>
      <c r="BO71" s="91">
        <v>-1</v>
      </c>
      <c r="BP71" s="91">
        <v>-1</v>
      </c>
      <c r="BQ71" s="91">
        <v>-1</v>
      </c>
      <c r="BR71" s="91">
        <v>-1</v>
      </c>
      <c r="BS71" s="91">
        <v>-1</v>
      </c>
      <c r="BT71" s="91">
        <v>-1</v>
      </c>
    </row>
    <row r="72" spans="2:72" x14ac:dyDescent="0.2">
      <c r="B72" s="77" t="s">
        <v>4054</v>
      </c>
      <c r="C72" s="12">
        <f t="shared" si="117"/>
        <v>30</v>
      </c>
      <c r="D72" s="42">
        <f t="shared" si="118"/>
        <v>19.717624148003896</v>
      </c>
      <c r="E72" s="42">
        <f t="shared" si="119"/>
        <v>0.50082765335930191</v>
      </c>
      <c r="G72" s="23">
        <v>38</v>
      </c>
      <c r="H72" s="61">
        <v>-1</v>
      </c>
      <c r="I72" s="61">
        <v>-1</v>
      </c>
      <c r="J72" s="61">
        <v>-1</v>
      </c>
      <c r="K72" s="61">
        <v>-1</v>
      </c>
      <c r="L72" s="61">
        <v>-1</v>
      </c>
      <c r="M72" s="61">
        <v>-1</v>
      </c>
      <c r="N72" s="61">
        <v>-1</v>
      </c>
      <c r="O72" s="61">
        <v>-1</v>
      </c>
      <c r="P72" s="61">
        <v>-1</v>
      </c>
      <c r="Q72" s="61">
        <v>-1</v>
      </c>
      <c r="R72" s="61">
        <v>-1</v>
      </c>
      <c r="S72" s="61">
        <v>-1</v>
      </c>
      <c r="T72" s="61">
        <v>-1</v>
      </c>
      <c r="U72" s="61">
        <v>-1</v>
      </c>
      <c r="V72" s="61">
        <v>-1</v>
      </c>
      <c r="W72" s="61">
        <v>-1</v>
      </c>
      <c r="X72" s="61">
        <v>-1</v>
      </c>
      <c r="Y72" s="61">
        <v>-1</v>
      </c>
      <c r="Z72" s="61">
        <v>-1</v>
      </c>
      <c r="AA72" s="61">
        <v>-1</v>
      </c>
      <c r="AB72" s="61">
        <v>-1</v>
      </c>
      <c r="AC72" s="61">
        <v>-1</v>
      </c>
      <c r="AD72" s="61">
        <v>-1</v>
      </c>
      <c r="AE72" s="61">
        <v>-1</v>
      </c>
      <c r="AF72" s="61">
        <v>-1</v>
      </c>
      <c r="AG72" s="61">
        <v>-1</v>
      </c>
      <c r="AH72" s="61">
        <v>-1</v>
      </c>
      <c r="AI72" s="61">
        <v>-1</v>
      </c>
      <c r="AJ72" s="61">
        <v>-1</v>
      </c>
      <c r="AK72" s="61">
        <v>-1</v>
      </c>
      <c r="AL72" s="61">
        <v>-1</v>
      </c>
      <c r="AM72" s="61">
        <v>-1</v>
      </c>
      <c r="AN72" s="61">
        <v>-1</v>
      </c>
      <c r="AO72" s="61">
        <v>-1</v>
      </c>
      <c r="AP72" s="61">
        <v>-1</v>
      </c>
      <c r="AQ72" s="61">
        <v>-1</v>
      </c>
      <c r="AR72" s="61">
        <v>-1</v>
      </c>
      <c r="AS72" s="61">
        <v>-1</v>
      </c>
      <c r="AT72" s="91">
        <v>-1</v>
      </c>
      <c r="AU72" s="91">
        <v>-1</v>
      </c>
      <c r="AV72" s="91">
        <v>-1</v>
      </c>
      <c r="AW72" s="91">
        <v>0</v>
      </c>
      <c r="AX72" s="91">
        <v>-1</v>
      </c>
      <c r="AY72" s="91">
        <v>-1</v>
      </c>
      <c r="AZ72" s="91">
        <v>-1</v>
      </c>
      <c r="BA72" s="91">
        <v>-1</v>
      </c>
      <c r="BB72" s="91">
        <v>-1</v>
      </c>
      <c r="BC72" s="91">
        <v>-1</v>
      </c>
      <c r="BD72" s="91">
        <v>0</v>
      </c>
      <c r="BE72" s="91">
        <v>-1</v>
      </c>
      <c r="BF72" s="91">
        <v>-1</v>
      </c>
      <c r="BG72" s="91">
        <v>-1</v>
      </c>
      <c r="BH72" s="91">
        <v>-1</v>
      </c>
      <c r="BI72" s="91">
        <v>-1</v>
      </c>
      <c r="BJ72" s="91">
        <v>-1</v>
      </c>
      <c r="BK72" s="91">
        <v>0</v>
      </c>
      <c r="BL72" s="91">
        <v>0</v>
      </c>
      <c r="BM72" s="91">
        <v>-1</v>
      </c>
      <c r="BN72" s="91">
        <v>0</v>
      </c>
      <c r="BO72" s="91">
        <v>-1</v>
      </c>
      <c r="BP72" s="91">
        <v>-1</v>
      </c>
      <c r="BQ72" s="91">
        <v>-1</v>
      </c>
      <c r="BR72" s="91">
        <v>-1</v>
      </c>
      <c r="BS72" s="91">
        <v>-1</v>
      </c>
      <c r="BT72" s="91">
        <v>-1</v>
      </c>
    </row>
    <row r="73" spans="2:72" x14ac:dyDescent="0.2">
      <c r="B73" s="77" t="s">
        <v>4069</v>
      </c>
      <c r="C73" s="12">
        <f t="shared" si="117"/>
        <v>31</v>
      </c>
      <c r="D73" s="42">
        <f t="shared" si="118"/>
        <v>44.9154532644434</v>
      </c>
      <c r="E73" s="42">
        <f t="shared" si="119"/>
        <v>1.1408525129168652</v>
      </c>
      <c r="G73" s="23">
        <v>39</v>
      </c>
      <c r="H73" s="61">
        <v>-1</v>
      </c>
      <c r="I73" s="61">
        <v>-1</v>
      </c>
      <c r="J73" s="61">
        <v>-1</v>
      </c>
      <c r="K73" s="61">
        <v>-1</v>
      </c>
      <c r="L73" s="61">
        <v>-1</v>
      </c>
      <c r="M73" s="61">
        <v>-1</v>
      </c>
      <c r="N73" s="61">
        <v>-1</v>
      </c>
      <c r="O73" s="61">
        <v>-1</v>
      </c>
      <c r="P73" s="61">
        <v>-1</v>
      </c>
      <c r="Q73" s="61">
        <v>-1</v>
      </c>
      <c r="R73" s="61">
        <v>-1</v>
      </c>
      <c r="S73" s="61">
        <v>-1</v>
      </c>
      <c r="T73" s="61">
        <v>-1</v>
      </c>
      <c r="U73" s="61">
        <v>-1</v>
      </c>
      <c r="V73" s="61">
        <v>-1</v>
      </c>
      <c r="W73" s="61">
        <v>-1</v>
      </c>
      <c r="X73" s="61">
        <v>-1</v>
      </c>
      <c r="Y73" s="61">
        <v>-1</v>
      </c>
      <c r="Z73" s="61">
        <v>-1</v>
      </c>
      <c r="AA73" s="61">
        <v>-1</v>
      </c>
      <c r="AB73" s="61">
        <v>-1</v>
      </c>
      <c r="AC73" s="61">
        <v>-1</v>
      </c>
      <c r="AD73" s="61">
        <v>-1</v>
      </c>
      <c r="AE73" s="61">
        <v>-1</v>
      </c>
      <c r="AF73" s="61">
        <v>-1</v>
      </c>
      <c r="AG73" s="61">
        <v>-1</v>
      </c>
      <c r="AH73" s="61">
        <v>-1</v>
      </c>
      <c r="AI73" s="61">
        <v>-1</v>
      </c>
      <c r="AJ73" s="61">
        <v>-1</v>
      </c>
      <c r="AK73" s="61">
        <v>-1</v>
      </c>
      <c r="AL73" s="61">
        <v>-1</v>
      </c>
      <c r="AM73" s="61">
        <v>-1</v>
      </c>
      <c r="AN73" s="61">
        <v>-1</v>
      </c>
      <c r="AO73" s="61">
        <v>-1</v>
      </c>
      <c r="AP73" s="61">
        <v>-1</v>
      </c>
      <c r="AQ73" s="61">
        <v>-1</v>
      </c>
      <c r="AR73" s="61">
        <v>-1</v>
      </c>
      <c r="AS73" s="61">
        <v>-1</v>
      </c>
      <c r="AT73" s="91">
        <v>-1</v>
      </c>
      <c r="AU73" s="91">
        <v>-1</v>
      </c>
      <c r="AV73" s="91">
        <v>-1</v>
      </c>
      <c r="AW73" s="91">
        <v>0</v>
      </c>
      <c r="AX73" s="91">
        <v>-1</v>
      </c>
      <c r="AY73" s="91">
        <v>-1</v>
      </c>
      <c r="AZ73" s="91">
        <v>-1</v>
      </c>
      <c r="BA73" s="91">
        <v>-1</v>
      </c>
      <c r="BB73" s="91">
        <v>-1</v>
      </c>
      <c r="BC73" s="91">
        <v>-1</v>
      </c>
      <c r="BD73" s="91">
        <v>0</v>
      </c>
      <c r="BE73" s="91">
        <v>-1</v>
      </c>
      <c r="BF73" s="91">
        <v>-1</v>
      </c>
      <c r="BG73" s="91">
        <v>-1</v>
      </c>
      <c r="BH73" s="91">
        <v>-1</v>
      </c>
      <c r="BI73" s="91">
        <v>-1</v>
      </c>
      <c r="BJ73" s="91">
        <v>-1</v>
      </c>
      <c r="BK73" s="91">
        <v>0</v>
      </c>
      <c r="BL73" s="91">
        <v>0</v>
      </c>
      <c r="BM73" s="91">
        <v>-1</v>
      </c>
      <c r="BN73" s="91">
        <v>0</v>
      </c>
      <c r="BO73" s="91">
        <v>-1</v>
      </c>
      <c r="BP73" s="91">
        <v>-1</v>
      </c>
      <c r="BQ73" s="91">
        <v>-1</v>
      </c>
      <c r="BR73" s="91">
        <v>-1</v>
      </c>
      <c r="BS73" s="91">
        <v>-1</v>
      </c>
      <c r="BT73" s="91">
        <v>-1</v>
      </c>
    </row>
    <row r="74" spans="2:72" x14ac:dyDescent="0.2">
      <c r="B74" s="77" t="s">
        <v>4237</v>
      </c>
      <c r="C74" s="12">
        <f t="shared" si="117"/>
        <v>32</v>
      </c>
      <c r="D74" s="42">
        <f t="shared" si="118"/>
        <v>16.759336970205624</v>
      </c>
      <c r="E74" s="42">
        <f t="shared" si="119"/>
        <v>0.42568715904322296</v>
      </c>
      <c r="G74" s="23">
        <v>40</v>
      </c>
      <c r="H74" s="61">
        <v>-1</v>
      </c>
      <c r="I74" s="61">
        <v>-1</v>
      </c>
      <c r="J74" s="61">
        <v>-1</v>
      </c>
      <c r="K74" s="61">
        <v>-1</v>
      </c>
      <c r="L74" s="61">
        <v>-1</v>
      </c>
      <c r="M74" s="61">
        <v>-1</v>
      </c>
      <c r="N74" s="61">
        <v>-1</v>
      </c>
      <c r="O74" s="61">
        <v>-1</v>
      </c>
      <c r="P74" s="61">
        <v>-1</v>
      </c>
      <c r="Q74" s="61">
        <v>-1</v>
      </c>
      <c r="R74" s="61">
        <v>-1</v>
      </c>
      <c r="S74" s="61">
        <v>-1</v>
      </c>
      <c r="T74" s="61">
        <v>-1</v>
      </c>
      <c r="U74" s="61">
        <v>-1</v>
      </c>
      <c r="V74" s="61">
        <v>-1</v>
      </c>
      <c r="W74" s="61">
        <v>-1</v>
      </c>
      <c r="X74" s="61">
        <v>-1</v>
      </c>
      <c r="Y74" s="61">
        <v>-1</v>
      </c>
      <c r="Z74" s="61">
        <v>-1</v>
      </c>
      <c r="AA74" s="61">
        <v>-1</v>
      </c>
      <c r="AB74" s="61">
        <v>-1</v>
      </c>
      <c r="AC74" s="61">
        <v>-1</v>
      </c>
      <c r="AD74" s="61">
        <v>-1</v>
      </c>
      <c r="AE74" s="61">
        <v>-1</v>
      </c>
      <c r="AF74" s="61">
        <v>-1</v>
      </c>
      <c r="AG74" s="61">
        <v>-1</v>
      </c>
      <c r="AH74" s="61">
        <v>-1</v>
      </c>
      <c r="AI74" s="61">
        <v>-1</v>
      </c>
      <c r="AJ74" s="61">
        <v>-1</v>
      </c>
      <c r="AK74" s="61">
        <v>-1</v>
      </c>
      <c r="AL74" s="61">
        <v>-1</v>
      </c>
      <c r="AM74" s="61">
        <v>-1</v>
      </c>
      <c r="AN74" s="61">
        <v>-1</v>
      </c>
      <c r="AO74" s="61">
        <v>-1</v>
      </c>
      <c r="AP74" s="61">
        <v>-1</v>
      </c>
      <c r="AQ74" s="61">
        <v>-1</v>
      </c>
      <c r="AR74" s="61">
        <v>-1</v>
      </c>
      <c r="AS74" s="61">
        <v>-1</v>
      </c>
      <c r="AT74" s="91">
        <v>0</v>
      </c>
      <c r="AU74" s="91">
        <v>-1</v>
      </c>
      <c r="AV74" s="91">
        <v>-1</v>
      </c>
      <c r="AW74" s="91">
        <v>0</v>
      </c>
      <c r="AX74" s="91">
        <v>-1</v>
      </c>
      <c r="AY74" s="91">
        <v>-1</v>
      </c>
      <c r="AZ74" s="91">
        <v>-1</v>
      </c>
      <c r="BA74" s="91">
        <v>-1</v>
      </c>
      <c r="BB74" s="91">
        <v>-1</v>
      </c>
      <c r="BC74" s="91">
        <v>-1</v>
      </c>
      <c r="BD74" s="91">
        <v>0</v>
      </c>
      <c r="BE74" s="91">
        <v>-1</v>
      </c>
      <c r="BF74" s="91">
        <v>-1</v>
      </c>
      <c r="BG74" s="91">
        <v>-1</v>
      </c>
      <c r="BH74" s="91">
        <v>-1</v>
      </c>
      <c r="BI74" s="91">
        <v>-1</v>
      </c>
      <c r="BJ74" s="91">
        <v>-1</v>
      </c>
      <c r="BK74" s="91">
        <v>0</v>
      </c>
      <c r="BL74" s="91">
        <v>0</v>
      </c>
      <c r="BM74" s="91">
        <v>-1</v>
      </c>
      <c r="BN74" s="91">
        <v>0</v>
      </c>
      <c r="BO74" s="91">
        <v>-1</v>
      </c>
      <c r="BP74" s="91">
        <v>-1</v>
      </c>
      <c r="BQ74" s="91">
        <v>-1</v>
      </c>
      <c r="BR74" s="91">
        <v>-1</v>
      </c>
      <c r="BS74" s="91">
        <v>-1</v>
      </c>
      <c r="BT74" s="91">
        <v>-1</v>
      </c>
    </row>
    <row r="75" spans="2:72" x14ac:dyDescent="0.2">
      <c r="B75" s="77" t="s">
        <v>4040</v>
      </c>
      <c r="C75" s="12">
        <f t="shared" si="117"/>
        <v>33</v>
      </c>
      <c r="D75" s="42">
        <f t="shared" si="118"/>
        <v>40.40667361835245</v>
      </c>
      <c r="E75" s="42">
        <f t="shared" si="119"/>
        <v>1.026329509906148</v>
      </c>
      <c r="G75" s="23">
        <v>41</v>
      </c>
      <c r="H75" s="61">
        <v>-1</v>
      </c>
      <c r="I75" s="61">
        <v>-1</v>
      </c>
      <c r="J75" s="61">
        <v>-1</v>
      </c>
      <c r="K75" s="61">
        <v>-1</v>
      </c>
      <c r="L75" s="61">
        <v>-1</v>
      </c>
      <c r="M75" s="61">
        <v>-1</v>
      </c>
      <c r="N75" s="61">
        <v>-1</v>
      </c>
      <c r="O75" s="61">
        <v>-1</v>
      </c>
      <c r="P75" s="61">
        <v>-1</v>
      </c>
      <c r="Q75" s="61">
        <v>-1</v>
      </c>
      <c r="R75" s="61">
        <v>-1</v>
      </c>
      <c r="S75" s="61">
        <v>-1</v>
      </c>
      <c r="T75" s="61">
        <v>-1</v>
      </c>
      <c r="U75" s="61">
        <v>-1</v>
      </c>
      <c r="V75" s="61">
        <v>-1</v>
      </c>
      <c r="W75" s="61">
        <v>-1</v>
      </c>
      <c r="X75" s="61">
        <v>-1</v>
      </c>
      <c r="Y75" s="61">
        <v>-1</v>
      </c>
      <c r="Z75" s="61">
        <v>-1</v>
      </c>
      <c r="AA75" s="61">
        <v>-1</v>
      </c>
      <c r="AB75" s="61">
        <v>-1</v>
      </c>
      <c r="AC75" s="61">
        <v>-1</v>
      </c>
      <c r="AD75" s="61">
        <v>-1</v>
      </c>
      <c r="AE75" s="61">
        <v>-1</v>
      </c>
      <c r="AF75" s="61">
        <v>-1</v>
      </c>
      <c r="AG75" s="61">
        <v>-1</v>
      </c>
      <c r="AH75" s="61">
        <v>-1</v>
      </c>
      <c r="AI75" s="61">
        <v>-1</v>
      </c>
      <c r="AJ75" s="61">
        <v>-1</v>
      </c>
      <c r="AK75" s="61">
        <v>-1</v>
      </c>
      <c r="AL75" s="61">
        <v>-1</v>
      </c>
      <c r="AM75" s="61">
        <v>-1</v>
      </c>
      <c r="AN75" s="61">
        <v>-1</v>
      </c>
      <c r="AO75" s="61">
        <v>-1</v>
      </c>
      <c r="AP75" s="61">
        <v>-1</v>
      </c>
      <c r="AQ75" s="61">
        <v>-1</v>
      </c>
      <c r="AR75" s="61">
        <v>-1</v>
      </c>
      <c r="AS75" s="61">
        <v>-1</v>
      </c>
      <c r="AT75" s="91">
        <v>0</v>
      </c>
      <c r="AU75" s="91">
        <v>-1</v>
      </c>
      <c r="AV75" s="91">
        <v>-1</v>
      </c>
      <c r="AW75" s="91">
        <v>0</v>
      </c>
      <c r="AX75" s="91">
        <v>0</v>
      </c>
      <c r="AY75" s="91">
        <v>0</v>
      </c>
      <c r="AZ75" s="91">
        <v>0</v>
      </c>
      <c r="BA75" s="91">
        <v>0</v>
      </c>
      <c r="BB75" s="91">
        <v>0</v>
      </c>
      <c r="BC75" s="91">
        <v>-1</v>
      </c>
      <c r="BD75" s="91">
        <v>1</v>
      </c>
      <c r="BE75" s="91">
        <v>0</v>
      </c>
      <c r="BF75" s="91">
        <v>0</v>
      </c>
      <c r="BG75" s="91">
        <v>0</v>
      </c>
      <c r="BH75" s="91">
        <v>-1</v>
      </c>
      <c r="BI75" s="91">
        <v>-1</v>
      </c>
      <c r="BJ75" s="91">
        <v>-1</v>
      </c>
      <c r="BK75" s="91">
        <v>0</v>
      </c>
      <c r="BL75" s="91">
        <v>0</v>
      </c>
      <c r="BM75" s="91">
        <v>-1</v>
      </c>
      <c r="BN75" s="91">
        <v>1</v>
      </c>
      <c r="BO75" s="91">
        <v>-1</v>
      </c>
      <c r="BP75" s="91">
        <v>-1</v>
      </c>
      <c r="BQ75" s="91">
        <v>-1</v>
      </c>
      <c r="BR75" s="91">
        <v>-1</v>
      </c>
      <c r="BS75" s="91">
        <v>-1</v>
      </c>
      <c r="BT75" s="91">
        <v>-1</v>
      </c>
    </row>
    <row r="76" spans="2:72" x14ac:dyDescent="0.2">
      <c r="B76" s="77" t="s">
        <v>4061</v>
      </c>
      <c r="C76" s="12">
        <f t="shared" si="117"/>
        <v>34</v>
      </c>
      <c r="D76" s="42">
        <f t="shared" si="118"/>
        <v>45.575974635979328</v>
      </c>
      <c r="E76" s="42">
        <f t="shared" si="119"/>
        <v>1.1576297557538737</v>
      </c>
      <c r="G76" s="23">
        <v>42</v>
      </c>
      <c r="H76" s="61">
        <v>0</v>
      </c>
      <c r="I76" s="61">
        <v>0</v>
      </c>
      <c r="J76" s="61">
        <v>0</v>
      </c>
      <c r="K76" s="61">
        <v>0</v>
      </c>
      <c r="L76" s="61">
        <v>0</v>
      </c>
      <c r="M76" s="61">
        <v>0</v>
      </c>
      <c r="N76" s="61">
        <v>0</v>
      </c>
      <c r="O76" s="61">
        <v>0</v>
      </c>
      <c r="P76" s="61">
        <v>0</v>
      </c>
      <c r="Q76" s="61">
        <v>0</v>
      </c>
      <c r="R76" s="61">
        <v>0</v>
      </c>
      <c r="S76" s="61">
        <v>0</v>
      </c>
      <c r="T76" s="61">
        <v>0</v>
      </c>
      <c r="U76" s="61">
        <v>0</v>
      </c>
      <c r="V76" s="61">
        <v>0</v>
      </c>
      <c r="W76" s="61">
        <v>0</v>
      </c>
      <c r="X76" s="61">
        <v>0</v>
      </c>
      <c r="Y76" s="61">
        <v>0</v>
      </c>
      <c r="Z76" s="61">
        <v>0</v>
      </c>
      <c r="AA76" s="61">
        <v>0</v>
      </c>
      <c r="AB76" s="61">
        <v>0</v>
      </c>
      <c r="AC76" s="61">
        <v>0</v>
      </c>
      <c r="AD76" s="61">
        <v>0</v>
      </c>
      <c r="AE76" s="61">
        <v>0</v>
      </c>
      <c r="AF76" s="61">
        <v>0</v>
      </c>
      <c r="AG76" s="61">
        <v>0</v>
      </c>
      <c r="AH76" s="61">
        <v>0</v>
      </c>
      <c r="AI76" s="61">
        <v>0</v>
      </c>
      <c r="AJ76" s="61">
        <v>0</v>
      </c>
      <c r="AK76" s="61">
        <v>0</v>
      </c>
      <c r="AL76" s="61">
        <v>0</v>
      </c>
      <c r="AM76" s="61">
        <v>0</v>
      </c>
      <c r="AN76" s="61">
        <v>0</v>
      </c>
      <c r="AO76" s="61">
        <v>0</v>
      </c>
      <c r="AP76" s="61">
        <v>0</v>
      </c>
      <c r="AQ76" s="61">
        <v>0</v>
      </c>
      <c r="AR76" s="61">
        <v>0</v>
      </c>
      <c r="AS76" s="61">
        <v>0</v>
      </c>
      <c r="AT76" s="91">
        <v>0</v>
      </c>
      <c r="AU76" s="91">
        <v>-1</v>
      </c>
      <c r="AV76" s="91">
        <v>-1</v>
      </c>
      <c r="AW76" s="91">
        <v>0</v>
      </c>
      <c r="AX76" s="91">
        <v>0</v>
      </c>
      <c r="AY76" s="91">
        <v>0</v>
      </c>
      <c r="AZ76" s="91">
        <v>0</v>
      </c>
      <c r="BA76" s="91">
        <v>0</v>
      </c>
      <c r="BB76" s="91">
        <v>0</v>
      </c>
      <c r="BC76" s="91">
        <v>-1</v>
      </c>
      <c r="BD76" s="91">
        <v>1</v>
      </c>
      <c r="BE76" s="91">
        <v>0</v>
      </c>
      <c r="BF76" s="91">
        <v>0</v>
      </c>
      <c r="BG76" s="91">
        <v>0</v>
      </c>
      <c r="BH76" s="91">
        <v>-1</v>
      </c>
      <c r="BI76" s="91">
        <v>-1</v>
      </c>
      <c r="BJ76" s="91">
        <v>-1</v>
      </c>
      <c r="BK76" s="91">
        <v>0</v>
      </c>
      <c r="BL76" s="91">
        <v>0</v>
      </c>
      <c r="BM76" s="91">
        <v>-1</v>
      </c>
      <c r="BN76" s="91">
        <v>1</v>
      </c>
      <c r="BO76" s="91">
        <v>-1</v>
      </c>
      <c r="BP76" s="91">
        <v>-1</v>
      </c>
      <c r="BQ76" s="91">
        <v>-1</v>
      </c>
      <c r="BR76" s="91">
        <v>-1</v>
      </c>
      <c r="BS76" s="91">
        <v>-1</v>
      </c>
      <c r="BT76" s="91">
        <v>-1</v>
      </c>
    </row>
    <row r="77" spans="2:72" x14ac:dyDescent="0.2">
      <c r="B77" s="77" t="s">
        <v>4070</v>
      </c>
      <c r="C77" s="12">
        <f t="shared" si="117"/>
        <v>35</v>
      </c>
      <c r="D77" s="42">
        <f t="shared" si="118"/>
        <v>48.745724059293046</v>
      </c>
      <c r="E77" s="42">
        <f t="shared" si="119"/>
        <v>1.2381413911060548</v>
      </c>
      <c r="G77" s="23">
        <v>43</v>
      </c>
      <c r="H77" s="61">
        <v>0</v>
      </c>
      <c r="I77" s="61">
        <v>0</v>
      </c>
      <c r="J77" s="61">
        <v>0</v>
      </c>
      <c r="K77" s="61">
        <v>0</v>
      </c>
      <c r="L77" s="61">
        <v>0</v>
      </c>
      <c r="M77" s="61">
        <v>0</v>
      </c>
      <c r="N77" s="61">
        <v>0</v>
      </c>
      <c r="O77" s="61">
        <v>0</v>
      </c>
      <c r="P77" s="61">
        <v>0</v>
      </c>
      <c r="Q77" s="61">
        <v>0</v>
      </c>
      <c r="R77" s="61">
        <v>0</v>
      </c>
      <c r="S77" s="61">
        <v>0</v>
      </c>
      <c r="T77" s="61">
        <v>0</v>
      </c>
      <c r="U77" s="61">
        <v>0</v>
      </c>
      <c r="V77" s="61">
        <v>0</v>
      </c>
      <c r="W77" s="61">
        <v>0</v>
      </c>
      <c r="X77" s="61">
        <v>0</v>
      </c>
      <c r="Y77" s="61">
        <v>0</v>
      </c>
      <c r="Z77" s="61">
        <v>0</v>
      </c>
      <c r="AA77" s="61">
        <v>0</v>
      </c>
      <c r="AB77" s="61">
        <v>0</v>
      </c>
      <c r="AC77" s="61">
        <v>0</v>
      </c>
      <c r="AD77" s="61">
        <v>0</v>
      </c>
      <c r="AE77" s="61">
        <v>0</v>
      </c>
      <c r="AF77" s="61">
        <v>0</v>
      </c>
      <c r="AG77" s="61">
        <v>0</v>
      </c>
      <c r="AH77" s="61">
        <v>0</v>
      </c>
      <c r="AI77" s="61">
        <v>0</v>
      </c>
      <c r="AJ77" s="61">
        <v>0</v>
      </c>
      <c r="AK77" s="61">
        <v>0</v>
      </c>
      <c r="AL77" s="61">
        <v>0</v>
      </c>
      <c r="AM77" s="61">
        <v>0</v>
      </c>
      <c r="AN77" s="61">
        <v>0</v>
      </c>
      <c r="AO77" s="61">
        <v>0</v>
      </c>
      <c r="AP77" s="61">
        <v>0</v>
      </c>
      <c r="AQ77" s="61">
        <v>0</v>
      </c>
      <c r="AR77" s="61">
        <v>0</v>
      </c>
      <c r="AS77" s="61">
        <v>0</v>
      </c>
      <c r="AT77" s="91">
        <v>0</v>
      </c>
      <c r="AU77" s="91">
        <v>-1</v>
      </c>
      <c r="AV77" s="91">
        <v>-1</v>
      </c>
      <c r="AW77" s="91">
        <v>0</v>
      </c>
      <c r="AX77" s="91">
        <v>0</v>
      </c>
      <c r="AY77" s="91">
        <v>0</v>
      </c>
      <c r="AZ77" s="91">
        <v>0</v>
      </c>
      <c r="BA77" s="91">
        <v>0</v>
      </c>
      <c r="BB77" s="91">
        <v>0</v>
      </c>
      <c r="BC77" s="91">
        <v>-1</v>
      </c>
      <c r="BD77" s="91">
        <v>1</v>
      </c>
      <c r="BE77" s="91">
        <v>0</v>
      </c>
      <c r="BF77" s="91">
        <v>0</v>
      </c>
      <c r="BG77" s="91">
        <v>0</v>
      </c>
      <c r="BH77" s="91">
        <v>-1</v>
      </c>
      <c r="BI77" s="91">
        <v>-1</v>
      </c>
      <c r="BJ77" s="91">
        <v>-1</v>
      </c>
      <c r="BK77" s="91">
        <v>0</v>
      </c>
      <c r="BL77" s="91">
        <v>0</v>
      </c>
      <c r="BM77" s="91">
        <v>-1</v>
      </c>
      <c r="BN77" s="91">
        <v>1</v>
      </c>
      <c r="BO77" s="91">
        <v>-1</v>
      </c>
      <c r="BP77" s="91">
        <v>-1</v>
      </c>
      <c r="BQ77" s="91">
        <v>-1</v>
      </c>
      <c r="BR77" s="91">
        <v>-1</v>
      </c>
      <c r="BS77" s="91">
        <v>-1</v>
      </c>
      <c r="BT77" s="91">
        <v>-1</v>
      </c>
    </row>
    <row r="78" spans="2:72" x14ac:dyDescent="0.2">
      <c r="B78" s="77" t="s">
        <v>4243</v>
      </c>
      <c r="C78" s="12">
        <f t="shared" si="117"/>
        <v>36</v>
      </c>
      <c r="D78" s="42">
        <f t="shared" si="118"/>
        <v>49.792975442604231</v>
      </c>
      <c r="E78" s="42">
        <f t="shared" si="119"/>
        <v>1.2647415762421446</v>
      </c>
      <c r="G78" s="23">
        <v>44</v>
      </c>
      <c r="H78" s="61">
        <v>0</v>
      </c>
      <c r="I78" s="61">
        <v>0</v>
      </c>
      <c r="J78" s="61">
        <v>0</v>
      </c>
      <c r="K78" s="61">
        <v>0</v>
      </c>
      <c r="L78" s="61">
        <v>0</v>
      </c>
      <c r="M78" s="61">
        <v>0</v>
      </c>
      <c r="N78" s="61">
        <v>0</v>
      </c>
      <c r="O78" s="61">
        <v>0</v>
      </c>
      <c r="P78" s="61">
        <v>0</v>
      </c>
      <c r="Q78" s="61">
        <v>0</v>
      </c>
      <c r="R78" s="61">
        <v>0</v>
      </c>
      <c r="S78" s="61">
        <v>0</v>
      </c>
      <c r="T78" s="61">
        <v>0</v>
      </c>
      <c r="U78" s="61">
        <v>0</v>
      </c>
      <c r="V78" s="61">
        <v>0</v>
      </c>
      <c r="W78" s="61">
        <v>0</v>
      </c>
      <c r="X78" s="61">
        <v>0</v>
      </c>
      <c r="Y78" s="61">
        <v>0</v>
      </c>
      <c r="Z78" s="61">
        <v>0</v>
      </c>
      <c r="AA78" s="61">
        <v>0</v>
      </c>
      <c r="AB78" s="61">
        <v>0</v>
      </c>
      <c r="AC78" s="61">
        <v>0</v>
      </c>
      <c r="AD78" s="61">
        <v>0</v>
      </c>
      <c r="AE78" s="61">
        <v>0</v>
      </c>
      <c r="AF78" s="61">
        <v>0</v>
      </c>
      <c r="AG78" s="61">
        <v>0</v>
      </c>
      <c r="AH78" s="61">
        <v>0</v>
      </c>
      <c r="AI78" s="61">
        <v>0</v>
      </c>
      <c r="AJ78" s="61">
        <v>0</v>
      </c>
      <c r="AK78" s="61">
        <v>0</v>
      </c>
      <c r="AL78" s="61">
        <v>0</v>
      </c>
      <c r="AM78" s="61">
        <v>0</v>
      </c>
      <c r="AN78" s="61">
        <v>0</v>
      </c>
      <c r="AO78" s="61">
        <v>0</v>
      </c>
      <c r="AP78" s="61">
        <v>0</v>
      </c>
      <c r="AQ78" s="61">
        <v>0</v>
      </c>
      <c r="AR78" s="61">
        <v>0</v>
      </c>
      <c r="AS78" s="61">
        <v>0</v>
      </c>
      <c r="AT78" s="91">
        <v>0</v>
      </c>
      <c r="AU78" s="91">
        <v>-1</v>
      </c>
      <c r="AV78" s="91">
        <v>-1</v>
      </c>
      <c r="AW78" s="91">
        <v>0</v>
      </c>
      <c r="AX78" s="91">
        <v>0</v>
      </c>
      <c r="AY78" s="91">
        <v>0</v>
      </c>
      <c r="AZ78" s="91">
        <v>0</v>
      </c>
      <c r="BA78" s="91">
        <v>0</v>
      </c>
      <c r="BB78" s="91">
        <v>0</v>
      </c>
      <c r="BC78" s="91">
        <v>-1</v>
      </c>
      <c r="BD78" s="91">
        <v>1</v>
      </c>
      <c r="BE78" s="91">
        <v>0</v>
      </c>
      <c r="BF78" s="91">
        <v>0</v>
      </c>
      <c r="BG78" s="91">
        <v>0</v>
      </c>
      <c r="BH78" s="91">
        <v>-1</v>
      </c>
      <c r="BI78" s="91">
        <v>-1</v>
      </c>
      <c r="BJ78" s="91">
        <v>-1</v>
      </c>
      <c r="BK78" s="91">
        <v>0</v>
      </c>
      <c r="BL78" s="91">
        <v>0</v>
      </c>
      <c r="BM78" s="91">
        <v>-1</v>
      </c>
      <c r="BN78" s="91">
        <v>1</v>
      </c>
      <c r="BO78" s="91">
        <v>-1</v>
      </c>
      <c r="BP78" s="91">
        <v>-1</v>
      </c>
      <c r="BQ78" s="91">
        <v>-1</v>
      </c>
      <c r="BR78" s="91">
        <v>-1</v>
      </c>
      <c r="BS78" s="91">
        <v>-1</v>
      </c>
      <c r="BT78" s="91">
        <v>-1</v>
      </c>
    </row>
    <row r="79" spans="2:72" x14ac:dyDescent="0.2">
      <c r="B79" s="77" t="s">
        <v>4071</v>
      </c>
      <c r="C79" s="12">
        <f t="shared" si="117"/>
        <v>37</v>
      </c>
      <c r="D79" s="42">
        <f t="shared" si="118"/>
        <v>41.049030786773088</v>
      </c>
      <c r="E79" s="42">
        <f t="shared" si="119"/>
        <v>1.0426453819840305</v>
      </c>
      <c r="G79" s="23">
        <v>45</v>
      </c>
      <c r="H79" s="61">
        <v>0</v>
      </c>
      <c r="I79" s="61">
        <v>0</v>
      </c>
      <c r="J79" s="61">
        <v>0</v>
      </c>
      <c r="K79" s="61">
        <v>0</v>
      </c>
      <c r="L79" s="61">
        <v>0</v>
      </c>
      <c r="M79" s="61">
        <v>0</v>
      </c>
      <c r="N79" s="61">
        <v>0</v>
      </c>
      <c r="O79" s="61">
        <v>0</v>
      </c>
      <c r="P79" s="61">
        <v>0</v>
      </c>
      <c r="Q79" s="61">
        <v>0</v>
      </c>
      <c r="R79" s="61">
        <v>0</v>
      </c>
      <c r="S79" s="61">
        <v>0</v>
      </c>
      <c r="T79" s="61">
        <v>0</v>
      </c>
      <c r="U79" s="61">
        <v>0</v>
      </c>
      <c r="V79" s="61">
        <v>0</v>
      </c>
      <c r="W79" s="61">
        <v>0</v>
      </c>
      <c r="X79" s="61">
        <v>0</v>
      </c>
      <c r="Y79" s="61">
        <v>0</v>
      </c>
      <c r="Z79" s="61">
        <v>0</v>
      </c>
      <c r="AA79" s="61">
        <v>0</v>
      </c>
      <c r="AB79" s="61">
        <v>0</v>
      </c>
      <c r="AC79" s="61">
        <v>0</v>
      </c>
      <c r="AD79" s="61">
        <v>0</v>
      </c>
      <c r="AE79" s="61">
        <v>0</v>
      </c>
      <c r="AF79" s="61">
        <v>0</v>
      </c>
      <c r="AG79" s="61">
        <v>0</v>
      </c>
      <c r="AH79" s="61">
        <v>0</v>
      </c>
      <c r="AI79" s="61">
        <v>0</v>
      </c>
      <c r="AJ79" s="61">
        <v>0</v>
      </c>
      <c r="AK79" s="61">
        <v>0</v>
      </c>
      <c r="AL79" s="61">
        <v>0</v>
      </c>
      <c r="AM79" s="61">
        <v>0</v>
      </c>
      <c r="AN79" s="61">
        <v>0</v>
      </c>
      <c r="AO79" s="61">
        <v>0</v>
      </c>
      <c r="AP79" s="61">
        <v>0</v>
      </c>
      <c r="AQ79" s="61">
        <v>0</v>
      </c>
      <c r="AR79" s="61">
        <v>0</v>
      </c>
      <c r="AS79" s="61">
        <v>0</v>
      </c>
      <c r="AT79" s="91">
        <v>0</v>
      </c>
      <c r="AU79" s="91">
        <v>-1</v>
      </c>
      <c r="AV79" s="91">
        <v>-1</v>
      </c>
      <c r="AW79" s="91">
        <v>0</v>
      </c>
      <c r="AX79" s="91">
        <v>0</v>
      </c>
      <c r="AY79" s="91">
        <v>0</v>
      </c>
      <c r="AZ79" s="91">
        <v>0</v>
      </c>
      <c r="BA79" s="91">
        <v>0</v>
      </c>
      <c r="BB79" s="91">
        <v>0</v>
      </c>
      <c r="BC79" s="91">
        <v>-1</v>
      </c>
      <c r="BD79" s="91">
        <v>1</v>
      </c>
      <c r="BE79" s="91">
        <v>0</v>
      </c>
      <c r="BF79" s="91">
        <v>0</v>
      </c>
      <c r="BG79" s="91">
        <v>0</v>
      </c>
      <c r="BH79" s="91">
        <v>-1</v>
      </c>
      <c r="BI79" s="91">
        <v>-1</v>
      </c>
      <c r="BJ79" s="91">
        <v>-1</v>
      </c>
      <c r="BK79" s="91">
        <v>0</v>
      </c>
      <c r="BL79" s="91">
        <v>0</v>
      </c>
      <c r="BM79" s="91">
        <v>-1</v>
      </c>
      <c r="BN79" s="91">
        <v>1</v>
      </c>
      <c r="BO79" s="91">
        <v>-1</v>
      </c>
      <c r="BP79" s="91">
        <v>-1</v>
      </c>
      <c r="BQ79" s="91">
        <v>-1</v>
      </c>
      <c r="BR79" s="91">
        <v>-1</v>
      </c>
      <c r="BS79" s="91">
        <v>-1</v>
      </c>
      <c r="BT79" s="91">
        <v>-1</v>
      </c>
    </row>
    <row r="80" spans="2:72" x14ac:dyDescent="0.2">
      <c r="B80" s="77" t="s">
        <v>4049</v>
      </c>
      <c r="C80" s="12">
        <f t="shared" si="117"/>
        <v>38</v>
      </c>
      <c r="D80" s="42">
        <f t="shared" si="118"/>
        <v>39.103232533889468</v>
      </c>
      <c r="E80" s="42">
        <f t="shared" si="119"/>
        <v>0.99322210636078978</v>
      </c>
      <c r="G80" s="23">
        <v>46</v>
      </c>
      <c r="H80" s="61">
        <v>0</v>
      </c>
      <c r="I80" s="61">
        <v>0</v>
      </c>
      <c r="J80" s="61">
        <v>0</v>
      </c>
      <c r="K80" s="61">
        <v>0</v>
      </c>
      <c r="L80" s="61">
        <v>0</v>
      </c>
      <c r="M80" s="61">
        <v>0</v>
      </c>
      <c r="N80" s="61">
        <v>0</v>
      </c>
      <c r="O80" s="61">
        <v>0</v>
      </c>
      <c r="P80" s="61">
        <v>0</v>
      </c>
      <c r="Q80" s="61">
        <v>0</v>
      </c>
      <c r="R80" s="61">
        <v>0</v>
      </c>
      <c r="S80" s="61">
        <v>0</v>
      </c>
      <c r="T80" s="61">
        <v>0</v>
      </c>
      <c r="U80" s="61">
        <v>0</v>
      </c>
      <c r="V80" s="61">
        <v>0</v>
      </c>
      <c r="W80" s="61">
        <v>0</v>
      </c>
      <c r="X80" s="61">
        <v>0</v>
      </c>
      <c r="Y80" s="61">
        <v>0</v>
      </c>
      <c r="Z80" s="61">
        <v>0</v>
      </c>
      <c r="AA80" s="61">
        <v>0</v>
      </c>
      <c r="AB80" s="61">
        <v>0</v>
      </c>
      <c r="AC80" s="61">
        <v>0</v>
      </c>
      <c r="AD80" s="61">
        <v>0</v>
      </c>
      <c r="AE80" s="61">
        <v>0</v>
      </c>
      <c r="AF80" s="61">
        <v>0</v>
      </c>
      <c r="AG80" s="61">
        <v>0</v>
      </c>
      <c r="AH80" s="61">
        <v>0</v>
      </c>
      <c r="AI80" s="61">
        <v>0</v>
      </c>
      <c r="AJ80" s="61">
        <v>0</v>
      </c>
      <c r="AK80" s="61">
        <v>0</v>
      </c>
      <c r="AL80" s="61">
        <v>0</v>
      </c>
      <c r="AM80" s="61">
        <v>0</v>
      </c>
      <c r="AN80" s="61">
        <v>0</v>
      </c>
      <c r="AO80" s="61">
        <v>0</v>
      </c>
      <c r="AP80" s="61">
        <v>0</v>
      </c>
      <c r="AQ80" s="61">
        <v>0</v>
      </c>
      <c r="AR80" s="61">
        <v>0</v>
      </c>
      <c r="AS80" s="61">
        <v>0</v>
      </c>
      <c r="AT80" s="91">
        <v>0</v>
      </c>
      <c r="AU80" s="91">
        <v>-1</v>
      </c>
      <c r="AV80" s="91">
        <v>-1</v>
      </c>
      <c r="AW80" s="91">
        <v>0</v>
      </c>
      <c r="AX80" s="91">
        <v>0</v>
      </c>
      <c r="AY80" s="91">
        <v>0</v>
      </c>
      <c r="AZ80" s="91">
        <v>0</v>
      </c>
      <c r="BA80" s="91">
        <v>0</v>
      </c>
      <c r="BB80" s="91">
        <v>0</v>
      </c>
      <c r="BC80" s="91">
        <v>0</v>
      </c>
      <c r="BD80" s="91">
        <v>1</v>
      </c>
      <c r="BE80" s="91">
        <v>0</v>
      </c>
      <c r="BF80" s="91">
        <v>0</v>
      </c>
      <c r="BG80" s="91">
        <v>0</v>
      </c>
      <c r="BH80" s="91">
        <v>-1</v>
      </c>
      <c r="BI80" s="91">
        <v>-1</v>
      </c>
      <c r="BJ80" s="91">
        <v>-1</v>
      </c>
      <c r="BK80" s="91">
        <v>0</v>
      </c>
      <c r="BL80" s="91">
        <v>0</v>
      </c>
      <c r="BM80" s="91">
        <v>0</v>
      </c>
      <c r="BN80" s="91">
        <v>1</v>
      </c>
      <c r="BO80" s="91">
        <v>0</v>
      </c>
      <c r="BP80" s="91">
        <v>0</v>
      </c>
      <c r="BQ80" s="91">
        <v>0</v>
      </c>
      <c r="BR80" s="91">
        <v>0</v>
      </c>
      <c r="BS80" s="91">
        <v>0</v>
      </c>
      <c r="BT80" s="91">
        <v>0</v>
      </c>
    </row>
    <row r="81" spans="2:72" x14ac:dyDescent="0.2">
      <c r="B81" s="77" t="s">
        <v>4042</v>
      </c>
      <c r="C81" s="12">
        <f t="shared" si="117"/>
        <v>39</v>
      </c>
      <c r="D81" s="42">
        <f t="shared" si="118"/>
        <v>39.103232533889468</v>
      </c>
      <c r="E81" s="42">
        <f t="shared" si="119"/>
        <v>0.99322210636078978</v>
      </c>
      <c r="G81" s="23">
        <v>47</v>
      </c>
      <c r="H81" s="61">
        <v>0</v>
      </c>
      <c r="I81" s="61">
        <v>0</v>
      </c>
      <c r="J81" s="61">
        <v>0</v>
      </c>
      <c r="K81" s="61">
        <v>0</v>
      </c>
      <c r="L81" s="61">
        <v>0</v>
      </c>
      <c r="M81" s="61">
        <v>0</v>
      </c>
      <c r="N81" s="61">
        <v>0</v>
      </c>
      <c r="O81" s="61">
        <v>0</v>
      </c>
      <c r="P81" s="61">
        <v>0</v>
      </c>
      <c r="Q81" s="61">
        <v>0</v>
      </c>
      <c r="R81" s="61">
        <v>0</v>
      </c>
      <c r="S81" s="61">
        <v>0</v>
      </c>
      <c r="T81" s="61">
        <v>0</v>
      </c>
      <c r="U81" s="61">
        <v>0</v>
      </c>
      <c r="V81" s="61">
        <v>0</v>
      </c>
      <c r="W81" s="61">
        <v>0</v>
      </c>
      <c r="X81" s="61">
        <v>0</v>
      </c>
      <c r="Y81" s="61">
        <v>0</v>
      </c>
      <c r="Z81" s="61">
        <v>0</v>
      </c>
      <c r="AA81" s="61">
        <v>0</v>
      </c>
      <c r="AB81" s="61">
        <v>0</v>
      </c>
      <c r="AC81" s="61">
        <v>0</v>
      </c>
      <c r="AD81" s="61">
        <v>0</v>
      </c>
      <c r="AE81" s="61">
        <v>0</v>
      </c>
      <c r="AF81" s="61">
        <v>0</v>
      </c>
      <c r="AG81" s="61">
        <v>0</v>
      </c>
      <c r="AH81" s="61">
        <v>0</v>
      </c>
      <c r="AI81" s="61">
        <v>0</v>
      </c>
      <c r="AJ81" s="61">
        <v>0</v>
      </c>
      <c r="AK81" s="61">
        <v>0</v>
      </c>
      <c r="AL81" s="61">
        <v>0</v>
      </c>
      <c r="AM81" s="61">
        <v>0</v>
      </c>
      <c r="AN81" s="61">
        <v>0</v>
      </c>
      <c r="AO81" s="61">
        <v>0</v>
      </c>
      <c r="AP81" s="61">
        <v>0</v>
      </c>
      <c r="AQ81" s="61">
        <v>0</v>
      </c>
      <c r="AR81" s="61">
        <v>0</v>
      </c>
      <c r="AS81" s="61">
        <v>0</v>
      </c>
      <c r="AT81" s="91">
        <v>0</v>
      </c>
      <c r="AU81" s="91">
        <v>-1</v>
      </c>
      <c r="AV81" s="91">
        <v>-1</v>
      </c>
      <c r="AW81" s="91">
        <v>0</v>
      </c>
      <c r="AX81" s="91">
        <v>0</v>
      </c>
      <c r="AY81" s="91">
        <v>0</v>
      </c>
      <c r="AZ81" s="91">
        <v>0</v>
      </c>
      <c r="BA81" s="91">
        <v>0</v>
      </c>
      <c r="BB81" s="91">
        <v>0</v>
      </c>
      <c r="BC81" s="91">
        <v>0</v>
      </c>
      <c r="BD81" s="91">
        <v>1</v>
      </c>
      <c r="BE81" s="91">
        <v>0</v>
      </c>
      <c r="BF81" s="91">
        <v>0</v>
      </c>
      <c r="BG81" s="91">
        <v>0</v>
      </c>
      <c r="BH81" s="91">
        <v>-1</v>
      </c>
      <c r="BI81" s="91">
        <v>-1</v>
      </c>
      <c r="BJ81" s="91">
        <v>-1</v>
      </c>
      <c r="BK81" s="91">
        <v>0</v>
      </c>
      <c r="BL81" s="91">
        <v>0</v>
      </c>
      <c r="BM81" s="91">
        <v>0</v>
      </c>
      <c r="BN81" s="91">
        <v>1</v>
      </c>
      <c r="BO81" s="91">
        <v>0</v>
      </c>
      <c r="BP81" s="91">
        <v>0</v>
      </c>
      <c r="BQ81" s="91">
        <v>0</v>
      </c>
      <c r="BR81" s="91">
        <v>0</v>
      </c>
      <c r="BS81" s="91">
        <v>0</v>
      </c>
      <c r="BT81" s="91">
        <v>0</v>
      </c>
    </row>
    <row r="82" spans="2:72" x14ac:dyDescent="0.2">
      <c r="B82" s="67" t="s">
        <v>876</v>
      </c>
      <c r="C82" s="12">
        <f t="shared" si="117"/>
        <v>40</v>
      </c>
      <c r="D82" s="42">
        <f t="shared" si="118"/>
        <v>47.249055018899625</v>
      </c>
      <c r="E82" s="42">
        <f t="shared" si="119"/>
        <v>1.2001259974800575</v>
      </c>
      <c r="G82" s="23">
        <v>48</v>
      </c>
      <c r="H82" s="61">
        <v>0</v>
      </c>
      <c r="I82" s="61">
        <v>0</v>
      </c>
      <c r="J82" s="61">
        <v>0</v>
      </c>
      <c r="K82" s="61">
        <v>0</v>
      </c>
      <c r="L82" s="61">
        <v>0</v>
      </c>
      <c r="M82" s="61">
        <v>0</v>
      </c>
      <c r="N82" s="61">
        <v>0</v>
      </c>
      <c r="O82" s="61">
        <v>0</v>
      </c>
      <c r="P82" s="61">
        <v>0</v>
      </c>
      <c r="Q82" s="61">
        <v>0</v>
      </c>
      <c r="R82" s="61">
        <v>0</v>
      </c>
      <c r="S82" s="61">
        <v>0</v>
      </c>
      <c r="T82" s="61">
        <v>0</v>
      </c>
      <c r="U82" s="61">
        <v>0</v>
      </c>
      <c r="V82" s="61">
        <v>0</v>
      </c>
      <c r="W82" s="61">
        <v>0</v>
      </c>
      <c r="X82" s="61">
        <v>0</v>
      </c>
      <c r="Y82" s="61">
        <v>0</v>
      </c>
      <c r="Z82" s="61">
        <v>0</v>
      </c>
      <c r="AA82" s="61">
        <v>0</v>
      </c>
      <c r="AB82" s="61">
        <v>0</v>
      </c>
      <c r="AC82" s="61">
        <v>0</v>
      </c>
      <c r="AD82" s="61">
        <v>0</v>
      </c>
      <c r="AE82" s="61">
        <v>0</v>
      </c>
      <c r="AF82" s="61">
        <v>0</v>
      </c>
      <c r="AG82" s="61">
        <v>0</v>
      </c>
      <c r="AH82" s="61">
        <v>0</v>
      </c>
      <c r="AI82" s="61">
        <v>0</v>
      </c>
      <c r="AJ82" s="61">
        <v>0</v>
      </c>
      <c r="AK82" s="61">
        <v>0</v>
      </c>
      <c r="AL82" s="61">
        <v>0</v>
      </c>
      <c r="AM82" s="61">
        <v>0</v>
      </c>
      <c r="AN82" s="61">
        <v>0</v>
      </c>
      <c r="AO82" s="61">
        <v>0</v>
      </c>
      <c r="AP82" s="61">
        <v>0</v>
      </c>
      <c r="AQ82" s="61">
        <v>0</v>
      </c>
      <c r="AR82" s="61">
        <v>0</v>
      </c>
      <c r="AS82" s="61">
        <v>0</v>
      </c>
      <c r="AT82" s="91">
        <v>0</v>
      </c>
      <c r="AU82" s="91">
        <v>-1</v>
      </c>
      <c r="AV82" s="91">
        <v>-1</v>
      </c>
      <c r="AW82" s="91">
        <v>0</v>
      </c>
      <c r="AX82" s="91">
        <v>0</v>
      </c>
      <c r="AY82" s="91">
        <v>0</v>
      </c>
      <c r="AZ82" s="91">
        <v>0</v>
      </c>
      <c r="BA82" s="91">
        <v>0</v>
      </c>
      <c r="BB82" s="91">
        <v>0</v>
      </c>
      <c r="BC82" s="91">
        <v>0</v>
      </c>
      <c r="BD82" s="91">
        <v>1</v>
      </c>
      <c r="BE82" s="91">
        <v>0</v>
      </c>
      <c r="BF82" s="91">
        <v>0</v>
      </c>
      <c r="BG82" s="91">
        <v>0</v>
      </c>
      <c r="BH82" s="91">
        <v>-1</v>
      </c>
      <c r="BI82" s="91">
        <v>-1</v>
      </c>
      <c r="BJ82" s="91">
        <v>-1</v>
      </c>
      <c r="BK82" s="91">
        <v>0</v>
      </c>
      <c r="BL82" s="91">
        <v>0</v>
      </c>
      <c r="BM82" s="91">
        <v>0</v>
      </c>
      <c r="BN82" s="91">
        <v>1</v>
      </c>
      <c r="BO82" s="91">
        <v>0</v>
      </c>
      <c r="BP82" s="91">
        <v>0</v>
      </c>
      <c r="BQ82" s="91">
        <v>0</v>
      </c>
      <c r="BR82" s="91">
        <v>0</v>
      </c>
      <c r="BS82" s="91">
        <v>0</v>
      </c>
      <c r="BT82" s="91">
        <v>0</v>
      </c>
    </row>
    <row r="83" spans="2:72" x14ac:dyDescent="0.2">
      <c r="B83" s="67" t="s">
        <v>877</v>
      </c>
      <c r="C83" s="12">
        <f t="shared" si="117"/>
        <v>42</v>
      </c>
      <c r="D83" s="42">
        <f t="shared" si="118"/>
        <v>48.917989685509156</v>
      </c>
      <c r="E83" s="42">
        <f t="shared" si="119"/>
        <v>1.2425169380119172</v>
      </c>
      <c r="G83" s="23">
        <v>49</v>
      </c>
      <c r="H83" s="61">
        <v>0</v>
      </c>
      <c r="I83" s="61">
        <v>0</v>
      </c>
      <c r="J83" s="61">
        <v>0</v>
      </c>
      <c r="K83" s="61">
        <v>0</v>
      </c>
      <c r="L83" s="61">
        <v>0</v>
      </c>
      <c r="M83" s="61">
        <v>0</v>
      </c>
      <c r="N83" s="61">
        <v>0</v>
      </c>
      <c r="O83" s="61">
        <v>0</v>
      </c>
      <c r="P83" s="61">
        <v>0</v>
      </c>
      <c r="Q83" s="61">
        <v>0</v>
      </c>
      <c r="R83" s="61">
        <v>0</v>
      </c>
      <c r="S83" s="61">
        <v>0</v>
      </c>
      <c r="T83" s="61">
        <v>0</v>
      </c>
      <c r="U83" s="61">
        <v>0</v>
      </c>
      <c r="V83" s="61">
        <v>0</v>
      </c>
      <c r="W83" s="61">
        <v>0</v>
      </c>
      <c r="X83" s="61">
        <v>0</v>
      </c>
      <c r="Y83" s="61">
        <v>0</v>
      </c>
      <c r="Z83" s="61">
        <v>0</v>
      </c>
      <c r="AA83" s="61">
        <v>0</v>
      </c>
      <c r="AB83" s="61">
        <v>0</v>
      </c>
      <c r="AC83" s="61">
        <v>0</v>
      </c>
      <c r="AD83" s="61">
        <v>0</v>
      </c>
      <c r="AE83" s="61">
        <v>0</v>
      </c>
      <c r="AF83" s="61">
        <v>0</v>
      </c>
      <c r="AG83" s="61">
        <v>0</v>
      </c>
      <c r="AH83" s="61">
        <v>0</v>
      </c>
      <c r="AI83" s="61">
        <v>0</v>
      </c>
      <c r="AJ83" s="61">
        <v>0</v>
      </c>
      <c r="AK83" s="61">
        <v>0</v>
      </c>
      <c r="AL83" s="61">
        <v>0</v>
      </c>
      <c r="AM83" s="61">
        <v>0</v>
      </c>
      <c r="AN83" s="61">
        <v>0</v>
      </c>
      <c r="AO83" s="61">
        <v>0</v>
      </c>
      <c r="AP83" s="61">
        <v>0</v>
      </c>
      <c r="AQ83" s="61">
        <v>0</v>
      </c>
      <c r="AR83" s="61">
        <v>0</v>
      </c>
      <c r="AS83" s="61">
        <v>0</v>
      </c>
      <c r="AT83" s="91">
        <v>0</v>
      </c>
      <c r="AU83" s="91">
        <v>-1</v>
      </c>
      <c r="AV83" s="91">
        <v>-1</v>
      </c>
      <c r="AW83" s="91">
        <v>0</v>
      </c>
      <c r="AX83" s="91">
        <v>0</v>
      </c>
      <c r="AY83" s="91">
        <v>0</v>
      </c>
      <c r="AZ83" s="91">
        <v>0</v>
      </c>
      <c r="BA83" s="91">
        <v>0</v>
      </c>
      <c r="BB83" s="91">
        <v>0</v>
      </c>
      <c r="BC83" s="91">
        <v>0</v>
      </c>
      <c r="BD83" s="91">
        <v>1</v>
      </c>
      <c r="BE83" s="91">
        <v>0</v>
      </c>
      <c r="BF83" s="91">
        <v>0</v>
      </c>
      <c r="BG83" s="91">
        <v>0</v>
      </c>
      <c r="BH83" s="91">
        <v>-1</v>
      </c>
      <c r="BI83" s="91">
        <v>-1</v>
      </c>
      <c r="BJ83" s="91">
        <v>-1</v>
      </c>
      <c r="BK83" s="91">
        <v>0</v>
      </c>
      <c r="BL83" s="91">
        <v>0</v>
      </c>
      <c r="BM83" s="91">
        <v>0</v>
      </c>
      <c r="BN83" s="91">
        <v>1</v>
      </c>
      <c r="BO83" s="91">
        <v>0</v>
      </c>
      <c r="BP83" s="91">
        <v>0</v>
      </c>
      <c r="BQ83" s="91">
        <v>0</v>
      </c>
      <c r="BR83" s="91">
        <v>0</v>
      </c>
      <c r="BS83" s="91">
        <v>0</v>
      </c>
      <c r="BT83" s="91">
        <v>0</v>
      </c>
    </row>
    <row r="84" spans="2:72" x14ac:dyDescent="0.2">
      <c r="B84" s="67" t="s">
        <v>941</v>
      </c>
      <c r="C84" s="12">
        <f t="shared" si="117"/>
        <v>43</v>
      </c>
      <c r="D84" s="42">
        <f t="shared" si="118"/>
        <v>23.661148977604675</v>
      </c>
      <c r="E84" s="42">
        <f t="shared" si="119"/>
        <v>0.60099318403116087</v>
      </c>
      <c r="G84" s="23">
        <v>50</v>
      </c>
      <c r="H84" s="61">
        <v>0</v>
      </c>
      <c r="I84" s="61">
        <v>0</v>
      </c>
      <c r="J84" s="61">
        <v>0</v>
      </c>
      <c r="K84" s="61">
        <v>0</v>
      </c>
      <c r="L84" s="61">
        <v>0</v>
      </c>
      <c r="M84" s="61">
        <v>0</v>
      </c>
      <c r="N84" s="61">
        <v>0</v>
      </c>
      <c r="O84" s="61">
        <v>0</v>
      </c>
      <c r="P84" s="61">
        <v>0</v>
      </c>
      <c r="Q84" s="61">
        <v>0</v>
      </c>
      <c r="R84" s="61">
        <v>0</v>
      </c>
      <c r="S84" s="61">
        <v>0</v>
      </c>
      <c r="T84" s="61">
        <v>0</v>
      </c>
      <c r="U84" s="61">
        <v>0</v>
      </c>
      <c r="V84" s="61">
        <v>0</v>
      </c>
      <c r="W84" s="61">
        <v>0</v>
      </c>
      <c r="X84" s="61">
        <v>0</v>
      </c>
      <c r="Y84" s="61">
        <v>0</v>
      </c>
      <c r="Z84" s="61">
        <v>0</v>
      </c>
      <c r="AA84" s="61">
        <v>0</v>
      </c>
      <c r="AB84" s="61">
        <v>0</v>
      </c>
      <c r="AC84" s="61">
        <v>0</v>
      </c>
      <c r="AD84" s="61">
        <v>0</v>
      </c>
      <c r="AE84" s="61">
        <v>0</v>
      </c>
      <c r="AF84" s="61">
        <v>0</v>
      </c>
      <c r="AG84" s="61">
        <v>0</v>
      </c>
      <c r="AH84" s="61">
        <v>0</v>
      </c>
      <c r="AI84" s="61">
        <v>0</v>
      </c>
      <c r="AJ84" s="61">
        <v>0</v>
      </c>
      <c r="AK84" s="61">
        <v>0</v>
      </c>
      <c r="AL84" s="61">
        <v>0</v>
      </c>
      <c r="AM84" s="61">
        <v>0</v>
      </c>
      <c r="AN84" s="61">
        <v>0</v>
      </c>
      <c r="AO84" s="61">
        <v>0</v>
      </c>
      <c r="AP84" s="61">
        <v>0</v>
      </c>
      <c r="AQ84" s="61">
        <v>0</v>
      </c>
      <c r="AR84" s="61">
        <v>0</v>
      </c>
      <c r="AS84" s="61">
        <v>0</v>
      </c>
      <c r="AT84" s="91">
        <v>0</v>
      </c>
      <c r="AU84" s="91">
        <v>-1</v>
      </c>
      <c r="AV84" s="91">
        <v>-1</v>
      </c>
      <c r="AW84" s="91">
        <v>0</v>
      </c>
      <c r="AX84" s="91">
        <v>0</v>
      </c>
      <c r="AY84" s="91">
        <v>0</v>
      </c>
      <c r="AZ84" s="91">
        <v>0</v>
      </c>
      <c r="BA84" s="91">
        <v>0</v>
      </c>
      <c r="BB84" s="91">
        <v>0</v>
      </c>
      <c r="BC84" s="91">
        <v>0</v>
      </c>
      <c r="BD84" s="91">
        <v>1</v>
      </c>
      <c r="BE84" s="91">
        <v>0</v>
      </c>
      <c r="BF84" s="91">
        <v>0</v>
      </c>
      <c r="BG84" s="91">
        <v>0</v>
      </c>
      <c r="BH84" s="91">
        <v>-1</v>
      </c>
      <c r="BI84" s="91">
        <v>-1</v>
      </c>
      <c r="BJ84" s="91">
        <v>-1</v>
      </c>
      <c r="BK84" s="91">
        <v>0</v>
      </c>
      <c r="BL84" s="91">
        <v>0</v>
      </c>
      <c r="BM84" s="91">
        <v>0</v>
      </c>
      <c r="BN84" s="91">
        <v>1</v>
      </c>
      <c r="BO84" s="91">
        <v>0</v>
      </c>
      <c r="BP84" s="91">
        <v>0</v>
      </c>
      <c r="BQ84" s="91">
        <v>0</v>
      </c>
      <c r="BR84" s="91">
        <v>0</v>
      </c>
      <c r="BS84" s="91">
        <v>0</v>
      </c>
      <c r="BT84" s="91">
        <v>0</v>
      </c>
    </row>
    <row r="85" spans="2:72" x14ac:dyDescent="0.2">
      <c r="B85" s="67" t="s">
        <v>3481</v>
      </c>
      <c r="C85" s="12">
        <f t="shared" si="117"/>
        <v>44</v>
      </c>
      <c r="D85" s="42">
        <f t="shared" si="118"/>
        <v>41.049030786773088</v>
      </c>
      <c r="E85" s="42">
        <f t="shared" si="119"/>
        <v>1.0426453819840305</v>
      </c>
      <c r="G85" s="23">
        <v>51</v>
      </c>
      <c r="H85" s="61">
        <v>0</v>
      </c>
      <c r="I85" s="61">
        <v>0</v>
      </c>
      <c r="J85" s="61">
        <v>0</v>
      </c>
      <c r="K85" s="61">
        <v>0</v>
      </c>
      <c r="L85" s="61">
        <v>0</v>
      </c>
      <c r="M85" s="61">
        <v>0</v>
      </c>
      <c r="N85" s="61">
        <v>0</v>
      </c>
      <c r="O85" s="61">
        <v>0</v>
      </c>
      <c r="P85" s="61">
        <v>0</v>
      </c>
      <c r="Q85" s="61">
        <v>0</v>
      </c>
      <c r="R85" s="61">
        <v>0</v>
      </c>
      <c r="S85" s="61">
        <v>0</v>
      </c>
      <c r="T85" s="61">
        <v>0</v>
      </c>
      <c r="U85" s="61">
        <v>0</v>
      </c>
      <c r="V85" s="61">
        <v>0</v>
      </c>
      <c r="W85" s="61">
        <v>0</v>
      </c>
      <c r="X85" s="61">
        <v>0</v>
      </c>
      <c r="Y85" s="61">
        <v>0</v>
      </c>
      <c r="Z85" s="61">
        <v>0</v>
      </c>
      <c r="AA85" s="61">
        <v>0</v>
      </c>
      <c r="AB85" s="61">
        <v>0</v>
      </c>
      <c r="AC85" s="61">
        <v>0</v>
      </c>
      <c r="AD85" s="61">
        <v>0</v>
      </c>
      <c r="AE85" s="61">
        <v>0</v>
      </c>
      <c r="AF85" s="61">
        <v>0</v>
      </c>
      <c r="AG85" s="61">
        <v>0</v>
      </c>
      <c r="AH85" s="61">
        <v>0</v>
      </c>
      <c r="AI85" s="61">
        <v>0</v>
      </c>
      <c r="AJ85" s="61">
        <v>0</v>
      </c>
      <c r="AK85" s="61">
        <v>0</v>
      </c>
      <c r="AL85" s="61">
        <v>0</v>
      </c>
      <c r="AM85" s="61">
        <v>0</v>
      </c>
      <c r="AN85" s="61">
        <v>0</v>
      </c>
      <c r="AO85" s="61">
        <v>0</v>
      </c>
      <c r="AP85" s="61">
        <v>0</v>
      </c>
      <c r="AQ85" s="61">
        <v>0</v>
      </c>
      <c r="AR85" s="61">
        <v>0</v>
      </c>
      <c r="AS85" s="61">
        <v>0</v>
      </c>
      <c r="AT85" s="91">
        <v>0</v>
      </c>
      <c r="AU85" s="91">
        <v>0</v>
      </c>
      <c r="AV85" s="91">
        <v>0</v>
      </c>
      <c r="AW85" s="91">
        <v>1</v>
      </c>
      <c r="AX85" s="91">
        <v>0</v>
      </c>
      <c r="AY85" s="91">
        <v>0</v>
      </c>
      <c r="AZ85" s="91">
        <v>0</v>
      </c>
      <c r="BA85" s="91">
        <v>0</v>
      </c>
      <c r="BB85" s="91">
        <v>0</v>
      </c>
      <c r="BC85" s="91">
        <v>0</v>
      </c>
      <c r="BD85" s="91">
        <v>1</v>
      </c>
      <c r="BE85" s="91">
        <v>0</v>
      </c>
      <c r="BF85" s="91">
        <v>0</v>
      </c>
      <c r="BG85" s="91">
        <v>0</v>
      </c>
      <c r="BH85" s="91">
        <v>0</v>
      </c>
      <c r="BI85" s="91">
        <v>0</v>
      </c>
      <c r="BJ85" s="91">
        <v>0</v>
      </c>
      <c r="BK85" s="91">
        <v>1</v>
      </c>
      <c r="BL85" s="91">
        <v>1</v>
      </c>
      <c r="BM85" s="91">
        <v>0</v>
      </c>
      <c r="BN85" s="91">
        <v>1</v>
      </c>
      <c r="BO85" s="91">
        <v>0</v>
      </c>
      <c r="BP85" s="91">
        <v>0</v>
      </c>
      <c r="BQ85" s="91">
        <v>0</v>
      </c>
      <c r="BR85" s="91">
        <v>0</v>
      </c>
      <c r="BS85" s="91">
        <v>0</v>
      </c>
      <c r="BT85" s="91">
        <v>0</v>
      </c>
    </row>
    <row r="86" spans="2:72" x14ac:dyDescent="0.2">
      <c r="B86" s="67" t="s">
        <v>881</v>
      </c>
      <c r="C86" s="12">
        <f t="shared" si="117"/>
        <v>45</v>
      </c>
      <c r="D86" s="42">
        <f t="shared" si="118"/>
        <v>48.071655527555606</v>
      </c>
      <c r="E86" s="42">
        <f t="shared" si="119"/>
        <v>1.2210200503999147</v>
      </c>
      <c r="G86" s="23">
        <v>52</v>
      </c>
      <c r="H86" s="61">
        <v>0</v>
      </c>
      <c r="I86" s="61">
        <v>0</v>
      </c>
      <c r="J86" s="61">
        <v>0</v>
      </c>
      <c r="K86" s="61">
        <v>0</v>
      </c>
      <c r="L86" s="61">
        <v>0</v>
      </c>
      <c r="M86" s="61">
        <v>0</v>
      </c>
      <c r="N86" s="61">
        <v>0</v>
      </c>
      <c r="O86" s="61">
        <v>0</v>
      </c>
      <c r="P86" s="61">
        <v>0</v>
      </c>
      <c r="Q86" s="61">
        <v>0</v>
      </c>
      <c r="R86" s="61">
        <v>0</v>
      </c>
      <c r="S86" s="61">
        <v>0</v>
      </c>
      <c r="T86" s="61">
        <v>0</v>
      </c>
      <c r="U86" s="61">
        <v>0</v>
      </c>
      <c r="V86" s="61">
        <v>0</v>
      </c>
      <c r="W86" s="61">
        <v>0</v>
      </c>
      <c r="X86" s="61">
        <v>0</v>
      </c>
      <c r="Y86" s="61">
        <v>0</v>
      </c>
      <c r="Z86" s="61">
        <v>0</v>
      </c>
      <c r="AA86" s="61">
        <v>0</v>
      </c>
      <c r="AB86" s="61">
        <v>0</v>
      </c>
      <c r="AC86" s="61">
        <v>0</v>
      </c>
      <c r="AD86" s="61">
        <v>0</v>
      </c>
      <c r="AE86" s="61">
        <v>0</v>
      </c>
      <c r="AF86" s="61">
        <v>0</v>
      </c>
      <c r="AG86" s="61">
        <v>0</v>
      </c>
      <c r="AH86" s="61">
        <v>0</v>
      </c>
      <c r="AI86" s="61">
        <v>0</v>
      </c>
      <c r="AJ86" s="61">
        <v>0</v>
      </c>
      <c r="AK86" s="61">
        <v>0</v>
      </c>
      <c r="AL86" s="61">
        <v>0</v>
      </c>
      <c r="AM86" s="61">
        <v>0</v>
      </c>
      <c r="AN86" s="61">
        <v>0</v>
      </c>
      <c r="AO86" s="61">
        <v>0</v>
      </c>
      <c r="AP86" s="61">
        <v>0</v>
      </c>
      <c r="AQ86" s="61">
        <v>0</v>
      </c>
      <c r="AR86" s="61">
        <v>0</v>
      </c>
      <c r="AS86" s="61">
        <v>0</v>
      </c>
      <c r="AT86" s="91">
        <v>0</v>
      </c>
      <c r="AU86" s="91">
        <v>0</v>
      </c>
      <c r="AV86" s="91">
        <v>0</v>
      </c>
      <c r="AW86" s="91">
        <v>1</v>
      </c>
      <c r="AX86" s="91">
        <v>0</v>
      </c>
      <c r="AY86" s="91">
        <v>0</v>
      </c>
      <c r="AZ86" s="91">
        <v>0</v>
      </c>
      <c r="BA86" s="91">
        <v>0</v>
      </c>
      <c r="BB86" s="91">
        <v>0</v>
      </c>
      <c r="BC86" s="91">
        <v>0</v>
      </c>
      <c r="BD86" s="91">
        <v>1</v>
      </c>
      <c r="BE86" s="91">
        <v>0</v>
      </c>
      <c r="BF86" s="91">
        <v>0</v>
      </c>
      <c r="BG86" s="91">
        <v>0</v>
      </c>
      <c r="BH86" s="91">
        <v>0</v>
      </c>
      <c r="BI86" s="91">
        <v>0</v>
      </c>
      <c r="BJ86" s="91">
        <v>0</v>
      </c>
      <c r="BK86" s="91">
        <v>1</v>
      </c>
      <c r="BL86" s="91">
        <v>1</v>
      </c>
      <c r="BM86" s="91">
        <v>0</v>
      </c>
      <c r="BN86" s="91">
        <v>1</v>
      </c>
      <c r="BO86" s="91">
        <v>0</v>
      </c>
      <c r="BP86" s="91">
        <v>0</v>
      </c>
      <c r="BQ86" s="91">
        <v>0</v>
      </c>
      <c r="BR86" s="91">
        <v>0</v>
      </c>
      <c r="BS86" s="91">
        <v>0</v>
      </c>
      <c r="BT86" s="91">
        <v>0</v>
      </c>
    </row>
    <row r="87" spans="2:72" x14ac:dyDescent="0.2">
      <c r="B87" s="67" t="s">
        <v>888</v>
      </c>
      <c r="C87" s="12">
        <f t="shared" si="117"/>
        <v>46</v>
      </c>
      <c r="D87" s="42">
        <f t="shared" si="118"/>
        <v>36.764705882352942</v>
      </c>
      <c r="E87" s="42">
        <f t="shared" si="119"/>
        <v>0.93382352941177516</v>
      </c>
      <c r="G87" s="23">
        <v>53</v>
      </c>
      <c r="H87" s="61">
        <v>0</v>
      </c>
      <c r="I87" s="61">
        <v>0</v>
      </c>
      <c r="J87" s="61">
        <v>0</v>
      </c>
      <c r="K87" s="61">
        <v>0</v>
      </c>
      <c r="L87" s="61">
        <v>0</v>
      </c>
      <c r="M87" s="61">
        <v>0</v>
      </c>
      <c r="N87" s="61">
        <v>0</v>
      </c>
      <c r="O87" s="61">
        <v>0</v>
      </c>
      <c r="P87" s="61">
        <v>0</v>
      </c>
      <c r="Q87" s="61">
        <v>0</v>
      </c>
      <c r="R87" s="61">
        <v>0</v>
      </c>
      <c r="S87" s="61">
        <v>0</v>
      </c>
      <c r="T87" s="61">
        <v>0</v>
      </c>
      <c r="U87" s="61">
        <v>0</v>
      </c>
      <c r="V87" s="61">
        <v>0</v>
      </c>
      <c r="W87" s="61">
        <v>0</v>
      </c>
      <c r="X87" s="61">
        <v>0</v>
      </c>
      <c r="Y87" s="61">
        <v>0</v>
      </c>
      <c r="Z87" s="61">
        <v>0</v>
      </c>
      <c r="AA87" s="61">
        <v>0</v>
      </c>
      <c r="AB87" s="61">
        <v>0</v>
      </c>
      <c r="AC87" s="61">
        <v>0</v>
      </c>
      <c r="AD87" s="61">
        <v>0</v>
      </c>
      <c r="AE87" s="61">
        <v>0</v>
      </c>
      <c r="AF87" s="61">
        <v>0</v>
      </c>
      <c r="AG87" s="61">
        <v>0</v>
      </c>
      <c r="AH87" s="61">
        <v>0</v>
      </c>
      <c r="AI87" s="61">
        <v>0</v>
      </c>
      <c r="AJ87" s="61">
        <v>0</v>
      </c>
      <c r="AK87" s="61">
        <v>0</v>
      </c>
      <c r="AL87" s="61">
        <v>0</v>
      </c>
      <c r="AM87" s="61">
        <v>0</v>
      </c>
      <c r="AN87" s="61">
        <v>0</v>
      </c>
      <c r="AO87" s="61">
        <v>0</v>
      </c>
      <c r="AP87" s="61">
        <v>0</v>
      </c>
      <c r="AQ87" s="61">
        <v>0</v>
      </c>
      <c r="AR87" s="61">
        <v>0</v>
      </c>
      <c r="AS87" s="61">
        <v>0</v>
      </c>
      <c r="AT87" s="91">
        <v>0</v>
      </c>
      <c r="AU87" s="91">
        <v>0</v>
      </c>
      <c r="AV87" s="91">
        <v>0</v>
      </c>
      <c r="AW87" s="91">
        <v>1</v>
      </c>
      <c r="AX87" s="91">
        <v>0</v>
      </c>
      <c r="AY87" s="91">
        <v>0</v>
      </c>
      <c r="AZ87" s="91">
        <v>0</v>
      </c>
      <c r="BA87" s="91">
        <v>0</v>
      </c>
      <c r="BB87" s="91">
        <v>0</v>
      </c>
      <c r="BC87" s="91">
        <v>0</v>
      </c>
      <c r="BD87" s="91">
        <v>1</v>
      </c>
      <c r="BE87" s="91">
        <v>0</v>
      </c>
      <c r="BF87" s="91">
        <v>0</v>
      </c>
      <c r="BG87" s="91">
        <v>0</v>
      </c>
      <c r="BH87" s="91">
        <v>0</v>
      </c>
      <c r="BI87" s="91">
        <v>0</v>
      </c>
      <c r="BJ87" s="91">
        <v>0</v>
      </c>
      <c r="BK87" s="91">
        <v>1</v>
      </c>
      <c r="BL87" s="91">
        <v>1</v>
      </c>
      <c r="BM87" s="91">
        <v>0</v>
      </c>
      <c r="BN87" s="91">
        <v>1</v>
      </c>
      <c r="BO87" s="91">
        <v>0</v>
      </c>
      <c r="BP87" s="91">
        <v>0</v>
      </c>
      <c r="BQ87" s="91">
        <v>0</v>
      </c>
      <c r="BR87" s="91">
        <v>0</v>
      </c>
      <c r="BS87" s="91">
        <v>0</v>
      </c>
      <c r="BT87" s="91">
        <v>0</v>
      </c>
    </row>
    <row r="88" spans="2:72" x14ac:dyDescent="0.2">
      <c r="B88" s="67" t="s">
        <v>1015</v>
      </c>
      <c r="C88" s="12">
        <f t="shared" si="117"/>
        <v>47</v>
      </c>
      <c r="D88" s="42">
        <f t="shared" si="118"/>
        <v>35.955746773202215</v>
      </c>
      <c r="E88" s="42">
        <f t="shared" si="119"/>
        <v>0.91327596803934341</v>
      </c>
      <c r="G88" s="23">
        <v>54</v>
      </c>
      <c r="H88" s="61">
        <v>0</v>
      </c>
      <c r="I88" s="61">
        <v>0</v>
      </c>
      <c r="J88" s="61">
        <v>0</v>
      </c>
      <c r="K88" s="61">
        <v>0</v>
      </c>
      <c r="L88" s="61">
        <v>0</v>
      </c>
      <c r="M88" s="61">
        <v>0</v>
      </c>
      <c r="N88" s="61">
        <v>0</v>
      </c>
      <c r="O88" s="61">
        <v>0</v>
      </c>
      <c r="P88" s="61">
        <v>0</v>
      </c>
      <c r="Q88" s="61">
        <v>0</v>
      </c>
      <c r="R88" s="61">
        <v>0</v>
      </c>
      <c r="S88" s="61">
        <v>0</v>
      </c>
      <c r="T88" s="61">
        <v>0</v>
      </c>
      <c r="U88" s="61">
        <v>0</v>
      </c>
      <c r="V88" s="61">
        <v>0</v>
      </c>
      <c r="W88" s="61">
        <v>0</v>
      </c>
      <c r="X88" s="61">
        <v>0</v>
      </c>
      <c r="Y88" s="61">
        <v>0</v>
      </c>
      <c r="Z88" s="61">
        <v>0</v>
      </c>
      <c r="AA88" s="61">
        <v>0</v>
      </c>
      <c r="AB88" s="61">
        <v>0</v>
      </c>
      <c r="AC88" s="61">
        <v>0</v>
      </c>
      <c r="AD88" s="61">
        <v>0</v>
      </c>
      <c r="AE88" s="61">
        <v>0</v>
      </c>
      <c r="AF88" s="61">
        <v>0</v>
      </c>
      <c r="AG88" s="61">
        <v>0</v>
      </c>
      <c r="AH88" s="61">
        <v>0</v>
      </c>
      <c r="AI88" s="61">
        <v>0</v>
      </c>
      <c r="AJ88" s="61">
        <v>0</v>
      </c>
      <c r="AK88" s="61">
        <v>0</v>
      </c>
      <c r="AL88" s="61">
        <v>0</v>
      </c>
      <c r="AM88" s="61">
        <v>0</v>
      </c>
      <c r="AN88" s="61">
        <v>0</v>
      </c>
      <c r="AO88" s="61">
        <v>0</v>
      </c>
      <c r="AP88" s="61">
        <v>0</v>
      </c>
      <c r="AQ88" s="61">
        <v>0</v>
      </c>
      <c r="AR88" s="61">
        <v>0</v>
      </c>
      <c r="AS88" s="61">
        <v>0</v>
      </c>
      <c r="AT88" s="91">
        <v>0</v>
      </c>
      <c r="AU88" s="91">
        <v>0</v>
      </c>
      <c r="AV88" s="91">
        <v>0</v>
      </c>
      <c r="AW88" s="91">
        <v>1</v>
      </c>
      <c r="AX88" s="91">
        <v>0</v>
      </c>
      <c r="AY88" s="91">
        <v>0</v>
      </c>
      <c r="AZ88" s="91">
        <v>0</v>
      </c>
      <c r="BA88" s="91">
        <v>0</v>
      </c>
      <c r="BB88" s="91">
        <v>0</v>
      </c>
      <c r="BC88" s="91">
        <v>0</v>
      </c>
      <c r="BD88" s="91">
        <v>1</v>
      </c>
      <c r="BE88" s="91">
        <v>0</v>
      </c>
      <c r="BF88" s="91">
        <v>0</v>
      </c>
      <c r="BG88" s="91">
        <v>0</v>
      </c>
      <c r="BH88" s="91">
        <v>0</v>
      </c>
      <c r="BI88" s="91">
        <v>0</v>
      </c>
      <c r="BJ88" s="91">
        <v>0</v>
      </c>
      <c r="BK88" s="91">
        <v>1</v>
      </c>
      <c r="BL88" s="91">
        <v>1</v>
      </c>
      <c r="BM88" s="91">
        <v>0</v>
      </c>
      <c r="BN88" s="91">
        <v>1</v>
      </c>
      <c r="BO88" s="91">
        <v>0</v>
      </c>
      <c r="BP88" s="91">
        <v>0</v>
      </c>
      <c r="BQ88" s="91">
        <v>0</v>
      </c>
      <c r="BR88" s="91">
        <v>0</v>
      </c>
      <c r="BS88" s="91">
        <v>0</v>
      </c>
      <c r="BT88" s="91">
        <v>0</v>
      </c>
    </row>
    <row r="89" spans="2:72" x14ac:dyDescent="0.2">
      <c r="B89" s="67" t="s">
        <v>917</v>
      </c>
      <c r="C89" s="12">
        <f t="shared" si="117"/>
        <v>48</v>
      </c>
      <c r="D89" s="42">
        <f t="shared" si="118"/>
        <v>51.566997121842022</v>
      </c>
      <c r="E89" s="42">
        <f t="shared" si="119"/>
        <v>1.3098017268947899</v>
      </c>
      <c r="G89" s="23">
        <v>55</v>
      </c>
      <c r="H89" s="61">
        <v>0</v>
      </c>
      <c r="I89" s="61">
        <v>0</v>
      </c>
      <c r="J89" s="61">
        <v>0</v>
      </c>
      <c r="K89" s="61">
        <v>0</v>
      </c>
      <c r="L89" s="61">
        <v>0</v>
      </c>
      <c r="M89" s="61">
        <v>0</v>
      </c>
      <c r="N89" s="61">
        <v>0</v>
      </c>
      <c r="O89" s="61">
        <v>0</v>
      </c>
      <c r="P89" s="61">
        <v>0</v>
      </c>
      <c r="Q89" s="61">
        <v>0</v>
      </c>
      <c r="R89" s="61">
        <v>0</v>
      </c>
      <c r="S89" s="61">
        <v>0</v>
      </c>
      <c r="T89" s="61">
        <v>0</v>
      </c>
      <c r="U89" s="61">
        <v>0</v>
      </c>
      <c r="V89" s="61">
        <v>0</v>
      </c>
      <c r="W89" s="61">
        <v>0</v>
      </c>
      <c r="X89" s="61">
        <v>0</v>
      </c>
      <c r="Y89" s="61">
        <v>0</v>
      </c>
      <c r="Z89" s="61">
        <v>0</v>
      </c>
      <c r="AA89" s="61">
        <v>0</v>
      </c>
      <c r="AB89" s="61">
        <v>0</v>
      </c>
      <c r="AC89" s="61">
        <v>0</v>
      </c>
      <c r="AD89" s="61">
        <v>0</v>
      </c>
      <c r="AE89" s="61">
        <v>0</v>
      </c>
      <c r="AF89" s="61">
        <v>0</v>
      </c>
      <c r="AG89" s="61">
        <v>0</v>
      </c>
      <c r="AH89" s="61">
        <v>0</v>
      </c>
      <c r="AI89" s="61">
        <v>0</v>
      </c>
      <c r="AJ89" s="61">
        <v>0</v>
      </c>
      <c r="AK89" s="61">
        <v>0</v>
      </c>
      <c r="AL89" s="61">
        <v>0</v>
      </c>
      <c r="AM89" s="61">
        <v>0</v>
      </c>
      <c r="AN89" s="61">
        <v>0</v>
      </c>
      <c r="AO89" s="61">
        <v>0</v>
      </c>
      <c r="AP89" s="61">
        <v>0</v>
      </c>
      <c r="AQ89" s="61">
        <v>0</v>
      </c>
      <c r="AR89" s="61">
        <v>0</v>
      </c>
      <c r="AS89" s="61">
        <v>0</v>
      </c>
      <c r="AT89" s="91">
        <v>1</v>
      </c>
      <c r="AU89" s="91">
        <v>0</v>
      </c>
      <c r="AV89" s="91">
        <v>0</v>
      </c>
      <c r="AW89" s="91">
        <v>1</v>
      </c>
      <c r="AX89" s="91">
        <v>0</v>
      </c>
      <c r="AY89" s="91">
        <v>0</v>
      </c>
      <c r="AZ89" s="91">
        <v>0</v>
      </c>
      <c r="BA89" s="91">
        <v>0</v>
      </c>
      <c r="BB89" s="91">
        <v>0</v>
      </c>
      <c r="BC89" s="91">
        <v>0</v>
      </c>
      <c r="BD89" s="91">
        <v>1</v>
      </c>
      <c r="BE89" s="91">
        <v>0</v>
      </c>
      <c r="BF89" s="91">
        <v>0</v>
      </c>
      <c r="BG89" s="91">
        <v>0</v>
      </c>
      <c r="BH89" s="91">
        <v>0</v>
      </c>
      <c r="BI89" s="91">
        <v>0</v>
      </c>
      <c r="BJ89" s="91">
        <v>0</v>
      </c>
      <c r="BK89" s="91">
        <v>1</v>
      </c>
      <c r="BL89" s="91">
        <v>1</v>
      </c>
      <c r="BM89" s="91">
        <v>0</v>
      </c>
      <c r="BN89" s="91">
        <v>1</v>
      </c>
      <c r="BO89" s="91">
        <v>0</v>
      </c>
      <c r="BP89" s="91">
        <v>0</v>
      </c>
      <c r="BQ89" s="91">
        <v>0</v>
      </c>
      <c r="BR89" s="91">
        <v>0</v>
      </c>
      <c r="BS89" s="91">
        <v>0</v>
      </c>
      <c r="BT89" s="91">
        <v>0</v>
      </c>
    </row>
    <row r="90" spans="2:72" x14ac:dyDescent="0.2">
      <c r="B90" s="67" t="s">
        <v>4916</v>
      </c>
      <c r="C90" s="12">
        <f t="shared" si="117"/>
        <v>49</v>
      </c>
      <c r="D90" s="42">
        <f t="shared" si="118"/>
        <v>24.375</v>
      </c>
      <c r="E90" s="42">
        <f t="shared" si="119"/>
        <v>0.61912500000000037</v>
      </c>
      <c r="G90" s="23">
        <v>56</v>
      </c>
      <c r="H90" s="61">
        <v>0</v>
      </c>
      <c r="I90" s="61">
        <v>0</v>
      </c>
      <c r="J90" s="61">
        <v>0</v>
      </c>
      <c r="K90" s="61">
        <v>0</v>
      </c>
      <c r="L90" s="61">
        <v>0</v>
      </c>
      <c r="M90" s="61">
        <v>0</v>
      </c>
      <c r="N90" s="61">
        <v>0</v>
      </c>
      <c r="O90" s="61">
        <v>0</v>
      </c>
      <c r="P90" s="61">
        <v>0</v>
      </c>
      <c r="Q90" s="61">
        <v>0</v>
      </c>
      <c r="R90" s="61">
        <v>0</v>
      </c>
      <c r="S90" s="61">
        <v>0</v>
      </c>
      <c r="T90" s="61">
        <v>0</v>
      </c>
      <c r="U90" s="61">
        <v>0</v>
      </c>
      <c r="V90" s="61">
        <v>0</v>
      </c>
      <c r="W90" s="61">
        <v>0</v>
      </c>
      <c r="X90" s="61">
        <v>0</v>
      </c>
      <c r="Y90" s="61">
        <v>0</v>
      </c>
      <c r="Z90" s="61">
        <v>0</v>
      </c>
      <c r="AA90" s="61">
        <v>0</v>
      </c>
      <c r="AB90" s="61">
        <v>0</v>
      </c>
      <c r="AC90" s="61">
        <v>0</v>
      </c>
      <c r="AD90" s="61">
        <v>0</v>
      </c>
      <c r="AE90" s="61">
        <v>0</v>
      </c>
      <c r="AF90" s="61">
        <v>0</v>
      </c>
      <c r="AG90" s="61">
        <v>0</v>
      </c>
      <c r="AH90" s="61">
        <v>0</v>
      </c>
      <c r="AI90" s="61">
        <v>0</v>
      </c>
      <c r="AJ90" s="61">
        <v>0</v>
      </c>
      <c r="AK90" s="61">
        <v>0</v>
      </c>
      <c r="AL90" s="61">
        <v>0</v>
      </c>
      <c r="AM90" s="61">
        <v>0</v>
      </c>
      <c r="AN90" s="61">
        <v>0</v>
      </c>
      <c r="AO90" s="61">
        <v>0</v>
      </c>
      <c r="AP90" s="61">
        <v>0</v>
      </c>
      <c r="AQ90" s="61">
        <v>0</v>
      </c>
      <c r="AR90" s="61">
        <v>0</v>
      </c>
      <c r="AS90" s="61">
        <v>0</v>
      </c>
      <c r="AT90" s="91">
        <v>1</v>
      </c>
      <c r="AU90" s="91">
        <v>0</v>
      </c>
      <c r="AV90" s="91">
        <v>0</v>
      </c>
      <c r="AW90" s="91">
        <v>1</v>
      </c>
      <c r="AX90" s="91">
        <v>1</v>
      </c>
      <c r="AY90" s="91">
        <v>1</v>
      </c>
      <c r="AZ90" s="91">
        <v>1</v>
      </c>
      <c r="BA90" s="91">
        <v>1</v>
      </c>
      <c r="BB90" s="91">
        <v>1</v>
      </c>
      <c r="BC90" s="91">
        <v>1</v>
      </c>
      <c r="BD90" s="91">
        <v>1</v>
      </c>
      <c r="BE90" s="91">
        <v>1</v>
      </c>
      <c r="BF90" s="91">
        <v>1</v>
      </c>
      <c r="BG90" s="91">
        <v>1</v>
      </c>
      <c r="BH90" s="91">
        <v>0</v>
      </c>
      <c r="BI90" s="91">
        <v>0</v>
      </c>
      <c r="BJ90" s="91">
        <v>0</v>
      </c>
      <c r="BK90" s="91">
        <v>1</v>
      </c>
      <c r="BL90" s="91">
        <v>1</v>
      </c>
      <c r="BM90" s="91">
        <v>1</v>
      </c>
      <c r="BN90" s="91">
        <v>1</v>
      </c>
      <c r="BO90" s="91">
        <v>1</v>
      </c>
      <c r="BP90" s="91">
        <v>1</v>
      </c>
      <c r="BQ90" s="91">
        <v>1</v>
      </c>
      <c r="BR90" s="91">
        <v>1</v>
      </c>
      <c r="BS90" s="91">
        <v>1</v>
      </c>
      <c r="BT90" s="91">
        <v>1</v>
      </c>
    </row>
    <row r="91" spans="2:72" x14ac:dyDescent="0.2">
      <c r="B91" s="67" t="s">
        <v>992</v>
      </c>
      <c r="C91" s="12">
        <f t="shared" si="117"/>
        <v>50</v>
      </c>
      <c r="D91" s="42">
        <f t="shared" si="118"/>
        <v>115.90909090909092</v>
      </c>
      <c r="E91" s="42">
        <f t="shared" si="119"/>
        <v>2.9440909090909031</v>
      </c>
      <c r="G91" s="23">
        <v>57</v>
      </c>
      <c r="H91" s="61">
        <v>0</v>
      </c>
      <c r="I91" s="61">
        <v>0</v>
      </c>
      <c r="J91" s="61">
        <v>0</v>
      </c>
      <c r="K91" s="61">
        <v>0</v>
      </c>
      <c r="L91" s="61">
        <v>0</v>
      </c>
      <c r="M91" s="61">
        <v>0</v>
      </c>
      <c r="N91" s="61">
        <v>0</v>
      </c>
      <c r="O91" s="61">
        <v>0</v>
      </c>
      <c r="P91" s="61">
        <v>0</v>
      </c>
      <c r="Q91" s="61">
        <v>0</v>
      </c>
      <c r="R91" s="61">
        <v>0</v>
      </c>
      <c r="S91" s="61">
        <v>0</v>
      </c>
      <c r="T91" s="61">
        <v>0</v>
      </c>
      <c r="U91" s="61">
        <v>0</v>
      </c>
      <c r="V91" s="61">
        <v>0</v>
      </c>
      <c r="W91" s="61">
        <v>0</v>
      </c>
      <c r="X91" s="61">
        <v>0</v>
      </c>
      <c r="Y91" s="61">
        <v>0</v>
      </c>
      <c r="Z91" s="61">
        <v>0</v>
      </c>
      <c r="AA91" s="61">
        <v>0</v>
      </c>
      <c r="AB91" s="61">
        <v>0</v>
      </c>
      <c r="AC91" s="61">
        <v>0</v>
      </c>
      <c r="AD91" s="61">
        <v>0</v>
      </c>
      <c r="AE91" s="61">
        <v>0</v>
      </c>
      <c r="AF91" s="61">
        <v>0</v>
      </c>
      <c r="AG91" s="61">
        <v>0</v>
      </c>
      <c r="AH91" s="61">
        <v>0</v>
      </c>
      <c r="AI91" s="61">
        <v>0</v>
      </c>
      <c r="AJ91" s="61">
        <v>0</v>
      </c>
      <c r="AK91" s="61">
        <v>0</v>
      </c>
      <c r="AL91" s="61">
        <v>0</v>
      </c>
      <c r="AM91" s="61">
        <v>0</v>
      </c>
      <c r="AN91" s="61">
        <v>0</v>
      </c>
      <c r="AO91" s="61">
        <v>0</v>
      </c>
      <c r="AP91" s="61">
        <v>0</v>
      </c>
      <c r="AQ91" s="61">
        <v>0</v>
      </c>
      <c r="AR91" s="61">
        <v>0</v>
      </c>
      <c r="AS91" s="61">
        <v>0</v>
      </c>
      <c r="AT91" s="91">
        <v>1</v>
      </c>
      <c r="AU91" s="91">
        <v>0</v>
      </c>
      <c r="AV91" s="91">
        <v>0</v>
      </c>
      <c r="AW91" s="91">
        <v>1</v>
      </c>
      <c r="AX91" s="91">
        <v>1</v>
      </c>
      <c r="AY91" s="91">
        <v>1</v>
      </c>
      <c r="AZ91" s="91">
        <v>1</v>
      </c>
      <c r="BA91" s="91">
        <v>1</v>
      </c>
      <c r="BB91" s="91">
        <v>1</v>
      </c>
      <c r="BC91" s="91">
        <v>1</v>
      </c>
      <c r="BD91" s="91">
        <v>1</v>
      </c>
      <c r="BE91" s="91">
        <v>1</v>
      </c>
      <c r="BF91" s="91">
        <v>1</v>
      </c>
      <c r="BG91" s="91">
        <v>1</v>
      </c>
      <c r="BH91" s="91">
        <v>0</v>
      </c>
      <c r="BI91" s="91">
        <v>0</v>
      </c>
      <c r="BJ91" s="91">
        <v>0</v>
      </c>
      <c r="BK91" s="91">
        <v>1</v>
      </c>
      <c r="BL91" s="91">
        <v>1</v>
      </c>
      <c r="BM91" s="91">
        <v>1</v>
      </c>
      <c r="BN91" s="91">
        <v>1</v>
      </c>
      <c r="BO91" s="91">
        <v>1</v>
      </c>
      <c r="BP91" s="91">
        <v>1</v>
      </c>
      <c r="BQ91" s="91">
        <v>1</v>
      </c>
      <c r="BR91" s="91">
        <v>1</v>
      </c>
      <c r="BS91" s="91">
        <v>1</v>
      </c>
      <c r="BT91" s="91">
        <v>1</v>
      </c>
    </row>
    <row r="92" spans="2:72" x14ac:dyDescent="0.2">
      <c r="B92" s="67" t="s">
        <v>956</v>
      </c>
      <c r="C92" s="12">
        <f t="shared" si="117"/>
        <v>51</v>
      </c>
      <c r="D92" s="42">
        <f t="shared" si="118"/>
        <v>45.67408651826964</v>
      </c>
      <c r="E92" s="42">
        <f t="shared" si="119"/>
        <v>1.1601217975640594</v>
      </c>
      <c r="G92" s="23">
        <v>58</v>
      </c>
      <c r="H92" s="61">
        <v>0</v>
      </c>
      <c r="I92" s="61">
        <v>0</v>
      </c>
      <c r="J92" s="61">
        <v>0</v>
      </c>
      <c r="K92" s="61">
        <v>0</v>
      </c>
      <c r="L92" s="61">
        <v>0</v>
      </c>
      <c r="M92" s="61">
        <v>0</v>
      </c>
      <c r="N92" s="61">
        <v>0</v>
      </c>
      <c r="O92" s="61">
        <v>0</v>
      </c>
      <c r="P92" s="61">
        <v>0</v>
      </c>
      <c r="Q92" s="61">
        <v>0</v>
      </c>
      <c r="R92" s="61">
        <v>0</v>
      </c>
      <c r="S92" s="61">
        <v>0</v>
      </c>
      <c r="T92" s="61">
        <v>0</v>
      </c>
      <c r="U92" s="61">
        <v>0</v>
      </c>
      <c r="V92" s="61">
        <v>0</v>
      </c>
      <c r="W92" s="61">
        <v>0</v>
      </c>
      <c r="X92" s="61">
        <v>0</v>
      </c>
      <c r="Y92" s="61">
        <v>0</v>
      </c>
      <c r="Z92" s="61">
        <v>0</v>
      </c>
      <c r="AA92" s="61">
        <v>0</v>
      </c>
      <c r="AB92" s="61">
        <v>0</v>
      </c>
      <c r="AC92" s="61">
        <v>0</v>
      </c>
      <c r="AD92" s="61">
        <v>0</v>
      </c>
      <c r="AE92" s="61">
        <v>0</v>
      </c>
      <c r="AF92" s="61">
        <v>0</v>
      </c>
      <c r="AG92" s="61">
        <v>0</v>
      </c>
      <c r="AH92" s="61">
        <v>0</v>
      </c>
      <c r="AI92" s="61">
        <v>0</v>
      </c>
      <c r="AJ92" s="61">
        <v>0</v>
      </c>
      <c r="AK92" s="61">
        <v>0</v>
      </c>
      <c r="AL92" s="61">
        <v>0</v>
      </c>
      <c r="AM92" s="61">
        <v>0</v>
      </c>
      <c r="AN92" s="61">
        <v>0</v>
      </c>
      <c r="AO92" s="61">
        <v>0</v>
      </c>
      <c r="AP92" s="61">
        <v>0</v>
      </c>
      <c r="AQ92" s="61">
        <v>0</v>
      </c>
      <c r="AR92" s="61">
        <v>0</v>
      </c>
      <c r="AS92" s="61">
        <v>0</v>
      </c>
      <c r="AT92" s="91">
        <v>1</v>
      </c>
      <c r="AU92" s="91">
        <v>0</v>
      </c>
      <c r="AV92" s="91">
        <v>0</v>
      </c>
      <c r="AW92" s="91">
        <v>1</v>
      </c>
      <c r="AX92" s="91">
        <v>1</v>
      </c>
      <c r="AY92" s="91">
        <v>1</v>
      </c>
      <c r="AZ92" s="91">
        <v>1</v>
      </c>
      <c r="BA92" s="91">
        <v>1</v>
      </c>
      <c r="BB92" s="91">
        <v>1</v>
      </c>
      <c r="BC92" s="91">
        <v>1</v>
      </c>
      <c r="BD92" s="91">
        <v>1</v>
      </c>
      <c r="BE92" s="91">
        <v>1</v>
      </c>
      <c r="BF92" s="91">
        <v>1</v>
      </c>
      <c r="BG92" s="91">
        <v>1</v>
      </c>
      <c r="BH92" s="91">
        <v>0</v>
      </c>
      <c r="BI92" s="91">
        <v>0</v>
      </c>
      <c r="BJ92" s="91">
        <v>0</v>
      </c>
      <c r="BK92" s="91">
        <v>1</v>
      </c>
      <c r="BL92" s="91">
        <v>1</v>
      </c>
      <c r="BM92" s="91">
        <v>1</v>
      </c>
      <c r="BN92" s="91">
        <v>1</v>
      </c>
      <c r="BO92" s="91">
        <v>1</v>
      </c>
      <c r="BP92" s="91">
        <v>1</v>
      </c>
      <c r="BQ92" s="91">
        <v>1</v>
      </c>
      <c r="BR92" s="91">
        <v>1</v>
      </c>
      <c r="BS92" s="91">
        <v>1</v>
      </c>
      <c r="BT92" s="91">
        <v>1</v>
      </c>
    </row>
    <row r="93" spans="2:72" x14ac:dyDescent="0.2">
      <c r="B93" s="67" t="s">
        <v>892</v>
      </c>
      <c r="C93" s="12">
        <f t="shared" si="117"/>
        <v>52</v>
      </c>
      <c r="D93" s="42">
        <f t="shared" si="118"/>
        <v>47.249055018899625</v>
      </c>
      <c r="E93" s="42">
        <f t="shared" si="119"/>
        <v>1.2001259974800575</v>
      </c>
      <c r="G93" s="23">
        <v>59</v>
      </c>
      <c r="H93" s="61">
        <v>0</v>
      </c>
      <c r="I93" s="61">
        <v>0</v>
      </c>
      <c r="J93" s="61">
        <v>0</v>
      </c>
      <c r="K93" s="61">
        <v>0</v>
      </c>
      <c r="L93" s="61">
        <v>0</v>
      </c>
      <c r="M93" s="61">
        <v>0</v>
      </c>
      <c r="N93" s="61">
        <v>0</v>
      </c>
      <c r="O93" s="61">
        <v>0</v>
      </c>
      <c r="P93" s="61">
        <v>0</v>
      </c>
      <c r="Q93" s="61">
        <v>0</v>
      </c>
      <c r="R93" s="61">
        <v>0</v>
      </c>
      <c r="S93" s="61">
        <v>0</v>
      </c>
      <c r="T93" s="61">
        <v>0</v>
      </c>
      <c r="U93" s="61">
        <v>0</v>
      </c>
      <c r="V93" s="61">
        <v>0</v>
      </c>
      <c r="W93" s="61">
        <v>0</v>
      </c>
      <c r="X93" s="61">
        <v>0</v>
      </c>
      <c r="Y93" s="61">
        <v>0</v>
      </c>
      <c r="Z93" s="61">
        <v>0</v>
      </c>
      <c r="AA93" s="61">
        <v>0</v>
      </c>
      <c r="AB93" s="61">
        <v>0</v>
      </c>
      <c r="AC93" s="61">
        <v>0</v>
      </c>
      <c r="AD93" s="61">
        <v>0</v>
      </c>
      <c r="AE93" s="61">
        <v>0</v>
      </c>
      <c r="AF93" s="61">
        <v>0</v>
      </c>
      <c r="AG93" s="61">
        <v>0</v>
      </c>
      <c r="AH93" s="61">
        <v>0</v>
      </c>
      <c r="AI93" s="61">
        <v>0</v>
      </c>
      <c r="AJ93" s="61">
        <v>0</v>
      </c>
      <c r="AK93" s="61">
        <v>0</v>
      </c>
      <c r="AL93" s="61">
        <v>0</v>
      </c>
      <c r="AM93" s="61">
        <v>0</v>
      </c>
      <c r="AN93" s="61">
        <v>0</v>
      </c>
      <c r="AO93" s="61">
        <v>0</v>
      </c>
      <c r="AP93" s="61">
        <v>0</v>
      </c>
      <c r="AQ93" s="61">
        <v>0</v>
      </c>
      <c r="AR93" s="61">
        <v>0</v>
      </c>
      <c r="AS93" s="61">
        <v>0</v>
      </c>
      <c r="AT93" s="91">
        <v>1</v>
      </c>
      <c r="AU93" s="91">
        <v>0</v>
      </c>
      <c r="AV93" s="91">
        <v>0</v>
      </c>
      <c r="AW93" s="91">
        <v>1</v>
      </c>
      <c r="AX93" s="91">
        <v>1</v>
      </c>
      <c r="AY93" s="91">
        <v>1</v>
      </c>
      <c r="AZ93" s="91">
        <v>1</v>
      </c>
      <c r="BA93" s="91">
        <v>1</v>
      </c>
      <c r="BB93" s="91">
        <v>1</v>
      </c>
      <c r="BC93" s="91">
        <v>1</v>
      </c>
      <c r="BD93" s="91">
        <v>1</v>
      </c>
      <c r="BE93" s="91">
        <v>1</v>
      </c>
      <c r="BF93" s="91">
        <v>1</v>
      </c>
      <c r="BG93" s="91">
        <v>1</v>
      </c>
      <c r="BH93" s="91">
        <v>0</v>
      </c>
      <c r="BI93" s="91">
        <v>0</v>
      </c>
      <c r="BJ93" s="91">
        <v>0</v>
      </c>
      <c r="BK93" s="91">
        <v>1</v>
      </c>
      <c r="BL93" s="91">
        <v>1</v>
      </c>
      <c r="BM93" s="91">
        <v>1</v>
      </c>
      <c r="BN93" s="91">
        <v>1</v>
      </c>
      <c r="BO93" s="91">
        <v>1</v>
      </c>
      <c r="BP93" s="91">
        <v>1</v>
      </c>
      <c r="BQ93" s="91">
        <v>1</v>
      </c>
      <c r="BR93" s="91">
        <v>1</v>
      </c>
      <c r="BS93" s="91">
        <v>1</v>
      </c>
      <c r="BT93" s="91">
        <v>1</v>
      </c>
    </row>
    <row r="94" spans="2:72" x14ac:dyDescent="0.2">
      <c r="B94" s="67" t="s">
        <v>887</v>
      </c>
      <c r="C94" s="12">
        <f t="shared" si="117"/>
        <v>53</v>
      </c>
      <c r="D94" s="42">
        <f t="shared" si="118"/>
        <v>48.401966810079898</v>
      </c>
      <c r="E94" s="42">
        <f t="shared" si="119"/>
        <v>1.2294099569760277</v>
      </c>
      <c r="G94" s="23">
        <v>60</v>
      </c>
      <c r="H94" s="61">
        <v>0</v>
      </c>
      <c r="I94" s="61">
        <v>0</v>
      </c>
      <c r="J94" s="61">
        <v>0</v>
      </c>
      <c r="K94" s="61">
        <v>0</v>
      </c>
      <c r="L94" s="61">
        <v>0</v>
      </c>
      <c r="M94" s="61">
        <v>0</v>
      </c>
      <c r="N94" s="61">
        <v>0</v>
      </c>
      <c r="O94" s="61">
        <v>0</v>
      </c>
      <c r="P94" s="61">
        <v>0</v>
      </c>
      <c r="Q94" s="61">
        <v>0</v>
      </c>
      <c r="R94" s="61">
        <v>0</v>
      </c>
      <c r="S94" s="61">
        <v>0</v>
      </c>
      <c r="T94" s="61">
        <v>0</v>
      </c>
      <c r="U94" s="61">
        <v>0</v>
      </c>
      <c r="V94" s="61">
        <v>0</v>
      </c>
      <c r="W94" s="61">
        <v>0</v>
      </c>
      <c r="X94" s="61">
        <v>0</v>
      </c>
      <c r="Y94" s="61">
        <v>0</v>
      </c>
      <c r="Z94" s="61">
        <v>0</v>
      </c>
      <c r="AA94" s="61">
        <v>0</v>
      </c>
      <c r="AB94" s="61">
        <v>0</v>
      </c>
      <c r="AC94" s="61">
        <v>0</v>
      </c>
      <c r="AD94" s="61">
        <v>0</v>
      </c>
      <c r="AE94" s="61">
        <v>0</v>
      </c>
      <c r="AF94" s="61">
        <v>0</v>
      </c>
      <c r="AG94" s="61">
        <v>0</v>
      </c>
      <c r="AH94" s="61">
        <v>0</v>
      </c>
      <c r="AI94" s="61">
        <v>0</v>
      </c>
      <c r="AJ94" s="61">
        <v>0</v>
      </c>
      <c r="AK94" s="61">
        <v>0</v>
      </c>
      <c r="AL94" s="61">
        <v>0</v>
      </c>
      <c r="AM94" s="61">
        <v>0</v>
      </c>
      <c r="AN94" s="61">
        <v>0</v>
      </c>
      <c r="AO94" s="61">
        <v>0</v>
      </c>
      <c r="AP94" s="61">
        <v>0</v>
      </c>
      <c r="AQ94" s="61">
        <v>0</v>
      </c>
      <c r="AR94" s="61">
        <v>0</v>
      </c>
      <c r="AS94" s="61">
        <v>0</v>
      </c>
      <c r="AT94" s="91">
        <v>1</v>
      </c>
      <c r="AU94" s="91">
        <v>0</v>
      </c>
      <c r="AV94" s="91">
        <v>0</v>
      </c>
      <c r="AW94" s="91">
        <v>1</v>
      </c>
      <c r="AX94" s="91">
        <v>1</v>
      </c>
      <c r="AY94" s="91">
        <v>1</v>
      </c>
      <c r="AZ94" s="91">
        <v>1</v>
      </c>
      <c r="BA94" s="91">
        <v>1</v>
      </c>
      <c r="BB94" s="91">
        <v>1</v>
      </c>
      <c r="BC94" s="91">
        <v>1</v>
      </c>
      <c r="BD94" s="91">
        <v>1</v>
      </c>
      <c r="BE94" s="91">
        <v>1</v>
      </c>
      <c r="BF94" s="91">
        <v>1</v>
      </c>
      <c r="BG94" s="91">
        <v>1</v>
      </c>
      <c r="BH94" s="91">
        <v>0</v>
      </c>
      <c r="BI94" s="91">
        <v>0</v>
      </c>
      <c r="BJ94" s="91">
        <v>0</v>
      </c>
      <c r="BK94" s="91">
        <v>1</v>
      </c>
      <c r="BL94" s="91">
        <v>1</v>
      </c>
      <c r="BM94" s="91">
        <v>1</v>
      </c>
      <c r="BN94" s="91">
        <v>1</v>
      </c>
      <c r="BO94" s="91">
        <v>1</v>
      </c>
      <c r="BP94" s="91">
        <v>1</v>
      </c>
      <c r="BQ94" s="91">
        <v>1</v>
      </c>
      <c r="BR94" s="91">
        <v>1</v>
      </c>
      <c r="BS94" s="91">
        <v>1</v>
      </c>
      <c r="BT94" s="91">
        <v>1</v>
      </c>
    </row>
    <row r="95" spans="2:72" x14ac:dyDescent="0.2">
      <c r="B95" s="67" t="s">
        <v>879</v>
      </c>
      <c r="C95" s="12">
        <f t="shared" si="117"/>
        <v>54</v>
      </c>
      <c r="D95" s="42">
        <f t="shared" si="118"/>
        <v>44.369486248053974</v>
      </c>
      <c r="E95" s="42">
        <f t="shared" si="119"/>
        <v>1.1269849507005745</v>
      </c>
      <c r="G95" s="23">
        <v>61</v>
      </c>
      <c r="H95" s="61">
        <v>0</v>
      </c>
      <c r="I95" s="61">
        <v>0</v>
      </c>
      <c r="J95" s="61">
        <v>0</v>
      </c>
      <c r="K95" s="61">
        <v>0</v>
      </c>
      <c r="L95" s="61">
        <v>0</v>
      </c>
      <c r="M95" s="61">
        <v>0</v>
      </c>
      <c r="N95" s="61">
        <v>0</v>
      </c>
      <c r="O95" s="61">
        <v>0</v>
      </c>
      <c r="P95" s="61">
        <v>0</v>
      </c>
      <c r="Q95" s="61">
        <v>0</v>
      </c>
      <c r="R95" s="61">
        <v>0</v>
      </c>
      <c r="S95" s="61">
        <v>0</v>
      </c>
      <c r="T95" s="61">
        <v>0</v>
      </c>
      <c r="U95" s="61">
        <v>0</v>
      </c>
      <c r="V95" s="61">
        <v>0</v>
      </c>
      <c r="W95" s="61">
        <v>0</v>
      </c>
      <c r="X95" s="61">
        <v>0</v>
      </c>
      <c r="Y95" s="61">
        <v>0</v>
      </c>
      <c r="Z95" s="61">
        <v>0</v>
      </c>
      <c r="AA95" s="61">
        <v>0</v>
      </c>
      <c r="AB95" s="61">
        <v>0</v>
      </c>
      <c r="AC95" s="61">
        <v>0</v>
      </c>
      <c r="AD95" s="61">
        <v>0</v>
      </c>
      <c r="AE95" s="61">
        <v>0</v>
      </c>
      <c r="AF95" s="61">
        <v>0</v>
      </c>
      <c r="AG95" s="61">
        <v>0</v>
      </c>
      <c r="AH95" s="61">
        <v>0</v>
      </c>
      <c r="AI95" s="61">
        <v>0</v>
      </c>
      <c r="AJ95" s="61">
        <v>0</v>
      </c>
      <c r="AK95" s="61">
        <v>0</v>
      </c>
      <c r="AL95" s="61">
        <v>0</v>
      </c>
      <c r="AM95" s="61">
        <v>0</v>
      </c>
      <c r="AN95" s="61">
        <v>0</v>
      </c>
      <c r="AO95" s="61">
        <v>0</v>
      </c>
      <c r="AP95" s="61">
        <v>0</v>
      </c>
      <c r="AQ95" s="61">
        <v>0</v>
      </c>
      <c r="AR95" s="61">
        <v>0</v>
      </c>
      <c r="AS95" s="61">
        <v>0</v>
      </c>
      <c r="AT95" s="91">
        <v>1</v>
      </c>
      <c r="AU95" s="91">
        <v>0</v>
      </c>
      <c r="AV95" s="91">
        <v>0</v>
      </c>
      <c r="AW95" s="91">
        <v>1</v>
      </c>
      <c r="AX95" s="91">
        <v>1</v>
      </c>
      <c r="AY95" s="91">
        <v>1</v>
      </c>
      <c r="AZ95" s="91">
        <v>1</v>
      </c>
      <c r="BA95" s="91">
        <v>1</v>
      </c>
      <c r="BB95" s="91">
        <v>1</v>
      </c>
      <c r="BC95" s="91">
        <v>1</v>
      </c>
      <c r="BD95" s="91">
        <v>2</v>
      </c>
      <c r="BE95" s="91">
        <v>1</v>
      </c>
      <c r="BF95" s="91">
        <v>1</v>
      </c>
      <c r="BG95" s="91">
        <v>1</v>
      </c>
      <c r="BH95" s="91">
        <v>0</v>
      </c>
      <c r="BI95" s="91">
        <v>0</v>
      </c>
      <c r="BJ95" s="91">
        <v>0</v>
      </c>
      <c r="BK95" s="91">
        <v>1</v>
      </c>
      <c r="BL95" s="91">
        <v>1</v>
      </c>
      <c r="BM95" s="91">
        <v>1</v>
      </c>
      <c r="BN95" s="91">
        <v>2</v>
      </c>
      <c r="BO95" s="91">
        <v>1</v>
      </c>
      <c r="BP95" s="91">
        <v>1</v>
      </c>
      <c r="BQ95" s="91">
        <v>1</v>
      </c>
      <c r="BR95" s="91">
        <v>1</v>
      </c>
      <c r="BS95" s="91">
        <v>1</v>
      </c>
      <c r="BT95" s="91">
        <v>1</v>
      </c>
    </row>
    <row r="96" spans="2:72" x14ac:dyDescent="0.2">
      <c r="B96" s="67" t="s">
        <v>878</v>
      </c>
      <c r="C96" s="12">
        <f t="shared" si="117"/>
        <v>55</v>
      </c>
      <c r="D96" s="42">
        <f t="shared" si="118"/>
        <v>37.500000000000007</v>
      </c>
      <c r="E96" s="42">
        <f t="shared" si="119"/>
        <v>0.95250000000001478</v>
      </c>
      <c r="G96" s="23">
        <v>62</v>
      </c>
      <c r="H96" s="61">
        <v>1</v>
      </c>
      <c r="I96" s="61">
        <v>1</v>
      </c>
      <c r="J96" s="61">
        <v>1</v>
      </c>
      <c r="K96" s="61">
        <v>1</v>
      </c>
      <c r="L96" s="61">
        <v>1</v>
      </c>
      <c r="M96" s="61">
        <v>1</v>
      </c>
      <c r="N96" s="61">
        <v>1</v>
      </c>
      <c r="O96" s="61">
        <v>1</v>
      </c>
      <c r="P96" s="61">
        <v>1</v>
      </c>
      <c r="Q96" s="61">
        <v>1</v>
      </c>
      <c r="R96" s="61">
        <v>1</v>
      </c>
      <c r="S96" s="61">
        <v>1</v>
      </c>
      <c r="T96" s="61">
        <v>1</v>
      </c>
      <c r="U96" s="61">
        <v>1</v>
      </c>
      <c r="V96" s="61">
        <v>1</v>
      </c>
      <c r="W96" s="61">
        <v>1</v>
      </c>
      <c r="X96" s="61">
        <v>1</v>
      </c>
      <c r="Y96" s="61">
        <v>1</v>
      </c>
      <c r="Z96" s="61">
        <v>1</v>
      </c>
      <c r="AA96" s="61">
        <v>1</v>
      </c>
      <c r="AB96" s="61">
        <v>1</v>
      </c>
      <c r="AC96" s="61">
        <v>1</v>
      </c>
      <c r="AD96" s="61">
        <v>1</v>
      </c>
      <c r="AE96" s="61">
        <v>1</v>
      </c>
      <c r="AF96" s="61">
        <v>1</v>
      </c>
      <c r="AG96" s="61">
        <v>1</v>
      </c>
      <c r="AH96" s="61">
        <v>1</v>
      </c>
      <c r="AI96" s="61">
        <v>1</v>
      </c>
      <c r="AJ96" s="61">
        <v>1</v>
      </c>
      <c r="AK96" s="61">
        <v>1</v>
      </c>
      <c r="AL96" s="61">
        <v>1</v>
      </c>
      <c r="AM96" s="61">
        <v>1</v>
      </c>
      <c r="AN96" s="61">
        <v>1</v>
      </c>
      <c r="AO96" s="61">
        <v>1</v>
      </c>
      <c r="AP96" s="61">
        <v>1</v>
      </c>
      <c r="AQ96" s="61">
        <v>1</v>
      </c>
      <c r="AR96" s="61">
        <v>1</v>
      </c>
      <c r="AS96" s="61">
        <v>1</v>
      </c>
      <c r="AT96" s="91">
        <v>1</v>
      </c>
      <c r="AU96" s="91">
        <v>0</v>
      </c>
      <c r="AV96" s="91">
        <v>0</v>
      </c>
      <c r="AW96" s="91">
        <v>1</v>
      </c>
      <c r="AX96" s="91">
        <v>1</v>
      </c>
      <c r="AY96" s="91">
        <v>1</v>
      </c>
      <c r="AZ96" s="91">
        <v>1</v>
      </c>
      <c r="BA96" s="91">
        <v>1</v>
      </c>
      <c r="BB96" s="91">
        <v>1</v>
      </c>
      <c r="BC96" s="91">
        <v>1</v>
      </c>
      <c r="BD96" s="91">
        <v>2</v>
      </c>
      <c r="BE96" s="91">
        <v>1</v>
      </c>
      <c r="BF96" s="91">
        <v>1</v>
      </c>
      <c r="BG96" s="91">
        <v>1</v>
      </c>
      <c r="BH96" s="91">
        <v>0</v>
      </c>
      <c r="BI96" s="91">
        <v>0</v>
      </c>
      <c r="BJ96" s="91">
        <v>0</v>
      </c>
      <c r="BK96" s="91">
        <v>1</v>
      </c>
      <c r="BL96" s="91">
        <v>1</v>
      </c>
      <c r="BM96" s="91">
        <v>1</v>
      </c>
      <c r="BN96" s="91">
        <v>2</v>
      </c>
      <c r="BO96" s="91">
        <v>1</v>
      </c>
      <c r="BP96" s="91">
        <v>1</v>
      </c>
      <c r="BQ96" s="91">
        <v>1</v>
      </c>
      <c r="BR96" s="91">
        <v>1</v>
      </c>
      <c r="BS96" s="91">
        <v>1</v>
      </c>
      <c r="BT96" s="91">
        <v>1</v>
      </c>
    </row>
    <row r="97" spans="2:72" x14ac:dyDescent="0.2">
      <c r="B97" s="67" t="s">
        <v>1034</v>
      </c>
      <c r="C97" s="12">
        <f t="shared" si="117"/>
        <v>56</v>
      </c>
      <c r="D97" s="42">
        <f t="shared" si="118"/>
        <v>45.570834665813884</v>
      </c>
      <c r="E97" s="42">
        <f t="shared" si="119"/>
        <v>1.1574992005116798</v>
      </c>
      <c r="G97" s="23">
        <v>63</v>
      </c>
      <c r="H97" s="61">
        <v>1</v>
      </c>
      <c r="I97" s="61">
        <v>1</v>
      </c>
      <c r="J97" s="61">
        <v>1</v>
      </c>
      <c r="K97" s="61">
        <v>1</v>
      </c>
      <c r="L97" s="61">
        <v>1</v>
      </c>
      <c r="M97" s="61">
        <v>1</v>
      </c>
      <c r="N97" s="61">
        <v>1</v>
      </c>
      <c r="O97" s="61">
        <v>1</v>
      </c>
      <c r="P97" s="61">
        <v>1</v>
      </c>
      <c r="Q97" s="61">
        <v>1</v>
      </c>
      <c r="R97" s="61">
        <v>1</v>
      </c>
      <c r="S97" s="61">
        <v>1</v>
      </c>
      <c r="T97" s="61">
        <v>1</v>
      </c>
      <c r="U97" s="61">
        <v>1</v>
      </c>
      <c r="V97" s="61">
        <v>1</v>
      </c>
      <c r="W97" s="61">
        <v>1</v>
      </c>
      <c r="X97" s="61">
        <v>1</v>
      </c>
      <c r="Y97" s="61">
        <v>1</v>
      </c>
      <c r="Z97" s="61">
        <v>1</v>
      </c>
      <c r="AA97" s="61">
        <v>1</v>
      </c>
      <c r="AB97" s="61">
        <v>1</v>
      </c>
      <c r="AC97" s="61">
        <v>1</v>
      </c>
      <c r="AD97" s="61">
        <v>1</v>
      </c>
      <c r="AE97" s="61">
        <v>1</v>
      </c>
      <c r="AF97" s="61">
        <v>1</v>
      </c>
      <c r="AG97" s="61">
        <v>1</v>
      </c>
      <c r="AH97" s="61">
        <v>1</v>
      </c>
      <c r="AI97" s="61">
        <v>1</v>
      </c>
      <c r="AJ97" s="61">
        <v>1</v>
      </c>
      <c r="AK97" s="61">
        <v>1</v>
      </c>
      <c r="AL97" s="61">
        <v>1</v>
      </c>
      <c r="AM97" s="61">
        <v>1</v>
      </c>
      <c r="AN97" s="61">
        <v>1</v>
      </c>
      <c r="AO97" s="61">
        <v>1</v>
      </c>
      <c r="AP97" s="61">
        <v>1</v>
      </c>
      <c r="AQ97" s="61">
        <v>1</v>
      </c>
      <c r="AR97" s="61">
        <v>1</v>
      </c>
      <c r="AS97" s="61">
        <v>1</v>
      </c>
      <c r="AT97" s="91">
        <v>1</v>
      </c>
      <c r="AU97" s="91">
        <v>0</v>
      </c>
      <c r="AV97" s="91">
        <v>0</v>
      </c>
      <c r="AW97" s="91">
        <v>1</v>
      </c>
      <c r="AX97" s="91">
        <v>1</v>
      </c>
      <c r="AY97" s="91">
        <v>1</v>
      </c>
      <c r="AZ97" s="91">
        <v>1</v>
      </c>
      <c r="BA97" s="91">
        <v>1</v>
      </c>
      <c r="BB97" s="91">
        <v>1</v>
      </c>
      <c r="BC97" s="91">
        <v>1</v>
      </c>
      <c r="BD97" s="91">
        <v>2</v>
      </c>
      <c r="BE97" s="91">
        <v>1</v>
      </c>
      <c r="BF97" s="91">
        <v>1</v>
      </c>
      <c r="BG97" s="91">
        <v>1</v>
      </c>
      <c r="BH97" s="91">
        <v>0</v>
      </c>
      <c r="BI97" s="91">
        <v>0</v>
      </c>
      <c r="BJ97" s="91">
        <v>0</v>
      </c>
      <c r="BK97" s="91">
        <v>1</v>
      </c>
      <c r="BL97" s="91">
        <v>1</v>
      </c>
      <c r="BM97" s="91">
        <v>1</v>
      </c>
      <c r="BN97" s="91">
        <v>2</v>
      </c>
      <c r="BO97" s="91">
        <v>1</v>
      </c>
      <c r="BP97" s="91">
        <v>1</v>
      </c>
      <c r="BQ97" s="91">
        <v>1</v>
      </c>
      <c r="BR97" s="91">
        <v>1</v>
      </c>
      <c r="BS97" s="91">
        <v>1</v>
      </c>
      <c r="BT97" s="91">
        <v>1</v>
      </c>
    </row>
    <row r="98" spans="2:72" x14ac:dyDescent="0.2">
      <c r="B98" s="67" t="s">
        <v>942</v>
      </c>
      <c r="C98" s="12">
        <f t="shared" si="117"/>
        <v>57</v>
      </c>
      <c r="D98" s="42">
        <f t="shared" si="118"/>
        <v>27.556132863239934</v>
      </c>
      <c r="E98" s="42">
        <f t="shared" si="119"/>
        <v>0.69992577472629591</v>
      </c>
      <c r="G98" s="23">
        <v>64</v>
      </c>
      <c r="H98" s="61">
        <v>1</v>
      </c>
      <c r="I98" s="61">
        <v>1</v>
      </c>
      <c r="J98" s="61">
        <v>1</v>
      </c>
      <c r="K98" s="61">
        <v>1</v>
      </c>
      <c r="L98" s="61">
        <v>1</v>
      </c>
      <c r="M98" s="61">
        <v>1</v>
      </c>
      <c r="N98" s="61">
        <v>1</v>
      </c>
      <c r="O98" s="61">
        <v>1</v>
      </c>
      <c r="P98" s="61">
        <v>1</v>
      </c>
      <c r="Q98" s="61">
        <v>1</v>
      </c>
      <c r="R98" s="61">
        <v>1</v>
      </c>
      <c r="S98" s="61">
        <v>1</v>
      </c>
      <c r="T98" s="61">
        <v>1</v>
      </c>
      <c r="U98" s="61">
        <v>1</v>
      </c>
      <c r="V98" s="61">
        <v>1</v>
      </c>
      <c r="W98" s="61">
        <v>1</v>
      </c>
      <c r="X98" s="61">
        <v>1</v>
      </c>
      <c r="Y98" s="61">
        <v>1</v>
      </c>
      <c r="Z98" s="61">
        <v>1</v>
      </c>
      <c r="AA98" s="61">
        <v>1</v>
      </c>
      <c r="AB98" s="61">
        <v>1</v>
      </c>
      <c r="AC98" s="61">
        <v>1</v>
      </c>
      <c r="AD98" s="61">
        <v>1</v>
      </c>
      <c r="AE98" s="61">
        <v>1</v>
      </c>
      <c r="AF98" s="61">
        <v>1</v>
      </c>
      <c r="AG98" s="61">
        <v>1</v>
      </c>
      <c r="AH98" s="61">
        <v>1</v>
      </c>
      <c r="AI98" s="61">
        <v>1</v>
      </c>
      <c r="AJ98" s="61">
        <v>1</v>
      </c>
      <c r="AK98" s="61">
        <v>1</v>
      </c>
      <c r="AL98" s="61">
        <v>1</v>
      </c>
      <c r="AM98" s="61">
        <v>1</v>
      </c>
      <c r="AN98" s="61">
        <v>1</v>
      </c>
      <c r="AO98" s="61">
        <v>1</v>
      </c>
      <c r="AP98" s="61">
        <v>1</v>
      </c>
      <c r="AQ98" s="61">
        <v>1</v>
      </c>
      <c r="AR98" s="61">
        <v>1</v>
      </c>
      <c r="AS98" s="61">
        <v>1</v>
      </c>
      <c r="AT98" s="91">
        <v>1</v>
      </c>
      <c r="AU98" s="91">
        <v>0</v>
      </c>
      <c r="AV98" s="91">
        <v>0</v>
      </c>
      <c r="AW98" s="91">
        <v>1</v>
      </c>
      <c r="AX98" s="91">
        <v>1</v>
      </c>
      <c r="AY98" s="91">
        <v>1</v>
      </c>
      <c r="AZ98" s="91">
        <v>1</v>
      </c>
      <c r="BA98" s="91">
        <v>1</v>
      </c>
      <c r="BB98" s="91">
        <v>1</v>
      </c>
      <c r="BC98" s="91">
        <v>1</v>
      </c>
      <c r="BD98" s="91">
        <v>2</v>
      </c>
      <c r="BE98" s="91">
        <v>1</v>
      </c>
      <c r="BF98" s="91">
        <v>1</v>
      </c>
      <c r="BG98" s="91">
        <v>1</v>
      </c>
      <c r="BH98" s="91">
        <v>0</v>
      </c>
      <c r="BI98" s="91">
        <v>0</v>
      </c>
      <c r="BJ98" s="91">
        <v>0</v>
      </c>
      <c r="BK98" s="91">
        <v>1</v>
      </c>
      <c r="BL98" s="91">
        <v>1</v>
      </c>
      <c r="BM98" s="91">
        <v>1</v>
      </c>
      <c r="BN98" s="91">
        <v>2</v>
      </c>
      <c r="BO98" s="91">
        <v>1</v>
      </c>
      <c r="BP98" s="91">
        <v>1</v>
      </c>
      <c r="BQ98" s="91">
        <v>1</v>
      </c>
      <c r="BR98" s="91">
        <v>1</v>
      </c>
      <c r="BS98" s="91">
        <v>1</v>
      </c>
      <c r="BT98" s="91">
        <v>1</v>
      </c>
    </row>
    <row r="99" spans="2:72" x14ac:dyDescent="0.2">
      <c r="B99" s="67" t="s">
        <v>943</v>
      </c>
      <c r="C99" s="12">
        <f t="shared" si="117"/>
        <v>58</v>
      </c>
      <c r="D99" s="42">
        <f t="shared" si="118"/>
        <v>25.917065390749606</v>
      </c>
      <c r="E99" s="42">
        <f t="shared" si="119"/>
        <v>0.65829346092504437</v>
      </c>
      <c r="G99" s="23">
        <v>65</v>
      </c>
      <c r="H99" s="61">
        <v>1</v>
      </c>
      <c r="I99" s="61">
        <v>1</v>
      </c>
      <c r="J99" s="61">
        <v>1</v>
      </c>
      <c r="K99" s="61">
        <v>1</v>
      </c>
      <c r="L99" s="61">
        <v>1</v>
      </c>
      <c r="M99" s="61">
        <v>1</v>
      </c>
      <c r="N99" s="61">
        <v>1</v>
      </c>
      <c r="O99" s="61">
        <v>1</v>
      </c>
      <c r="P99" s="61">
        <v>1</v>
      </c>
      <c r="Q99" s="61">
        <v>1</v>
      </c>
      <c r="R99" s="61">
        <v>1</v>
      </c>
      <c r="S99" s="61">
        <v>1</v>
      </c>
      <c r="T99" s="61">
        <v>1</v>
      </c>
      <c r="U99" s="61">
        <v>1</v>
      </c>
      <c r="V99" s="61">
        <v>1</v>
      </c>
      <c r="W99" s="61">
        <v>1</v>
      </c>
      <c r="X99" s="61">
        <v>1</v>
      </c>
      <c r="Y99" s="61">
        <v>1</v>
      </c>
      <c r="Z99" s="61">
        <v>1</v>
      </c>
      <c r="AA99" s="61">
        <v>1</v>
      </c>
      <c r="AB99" s="61">
        <v>1</v>
      </c>
      <c r="AC99" s="61">
        <v>1</v>
      </c>
      <c r="AD99" s="61">
        <v>1</v>
      </c>
      <c r="AE99" s="61">
        <v>1</v>
      </c>
      <c r="AF99" s="61">
        <v>1</v>
      </c>
      <c r="AG99" s="61">
        <v>1</v>
      </c>
      <c r="AH99" s="61">
        <v>1</v>
      </c>
      <c r="AI99" s="61">
        <v>1</v>
      </c>
      <c r="AJ99" s="61">
        <v>1</v>
      </c>
      <c r="AK99" s="61">
        <v>1</v>
      </c>
      <c r="AL99" s="61">
        <v>1</v>
      </c>
      <c r="AM99" s="61">
        <v>1</v>
      </c>
      <c r="AN99" s="61">
        <v>1</v>
      </c>
      <c r="AO99" s="61">
        <v>1</v>
      </c>
      <c r="AP99" s="61">
        <v>1</v>
      </c>
      <c r="AQ99" s="61">
        <v>1</v>
      </c>
      <c r="AR99" s="61">
        <v>1</v>
      </c>
      <c r="AS99" s="61">
        <v>1</v>
      </c>
      <c r="AT99" s="91">
        <v>1</v>
      </c>
      <c r="AU99" s="91">
        <v>0</v>
      </c>
      <c r="AV99" s="91">
        <v>0</v>
      </c>
      <c r="AW99" s="91">
        <v>1</v>
      </c>
      <c r="AX99" s="91">
        <v>1</v>
      </c>
      <c r="AY99" s="91">
        <v>1</v>
      </c>
      <c r="AZ99" s="91">
        <v>1</v>
      </c>
      <c r="BA99" s="91">
        <v>1</v>
      </c>
      <c r="BB99" s="91">
        <v>1</v>
      </c>
      <c r="BC99" s="91">
        <v>1</v>
      </c>
      <c r="BD99" s="91">
        <v>2</v>
      </c>
      <c r="BE99" s="91">
        <v>1</v>
      </c>
      <c r="BF99" s="91">
        <v>1</v>
      </c>
      <c r="BG99" s="91">
        <v>1</v>
      </c>
      <c r="BH99" s="91">
        <v>0</v>
      </c>
      <c r="BI99" s="91">
        <v>0</v>
      </c>
      <c r="BJ99" s="91">
        <v>0</v>
      </c>
      <c r="BK99" s="91">
        <v>1</v>
      </c>
      <c r="BL99" s="91">
        <v>1</v>
      </c>
      <c r="BM99" s="91">
        <v>1</v>
      </c>
      <c r="BN99" s="91">
        <v>2</v>
      </c>
      <c r="BO99" s="91">
        <v>1</v>
      </c>
      <c r="BP99" s="91">
        <v>1</v>
      </c>
      <c r="BQ99" s="91">
        <v>1</v>
      </c>
      <c r="BR99" s="91">
        <v>1</v>
      </c>
      <c r="BS99" s="91">
        <v>1</v>
      </c>
      <c r="BT99" s="91">
        <v>1</v>
      </c>
    </row>
    <row r="100" spans="2:72" x14ac:dyDescent="0.2">
      <c r="B100" s="67" t="s">
        <v>1130</v>
      </c>
      <c r="C100" s="12">
        <f t="shared" si="117"/>
        <v>59</v>
      </c>
      <c r="D100" s="42">
        <f t="shared" si="118"/>
        <v>39.488017429193896</v>
      </c>
      <c r="E100" s="42">
        <f t="shared" si="119"/>
        <v>1.0029956427015208</v>
      </c>
      <c r="G100" s="23">
        <v>66</v>
      </c>
      <c r="H100" s="61">
        <v>1</v>
      </c>
      <c r="I100" s="61">
        <v>1</v>
      </c>
      <c r="J100" s="61">
        <v>1</v>
      </c>
      <c r="K100" s="61">
        <v>1</v>
      </c>
      <c r="L100" s="61">
        <v>1</v>
      </c>
      <c r="M100" s="61">
        <v>1</v>
      </c>
      <c r="N100" s="61">
        <v>1</v>
      </c>
      <c r="O100" s="61">
        <v>1</v>
      </c>
      <c r="P100" s="61">
        <v>1</v>
      </c>
      <c r="Q100" s="61">
        <v>1</v>
      </c>
      <c r="R100" s="61">
        <v>1</v>
      </c>
      <c r="S100" s="61">
        <v>1</v>
      </c>
      <c r="T100" s="61">
        <v>1</v>
      </c>
      <c r="U100" s="61">
        <v>1</v>
      </c>
      <c r="V100" s="61">
        <v>1</v>
      </c>
      <c r="W100" s="61">
        <v>1</v>
      </c>
      <c r="X100" s="61">
        <v>1</v>
      </c>
      <c r="Y100" s="61">
        <v>1</v>
      </c>
      <c r="Z100" s="61">
        <v>1</v>
      </c>
      <c r="AA100" s="61">
        <v>1</v>
      </c>
      <c r="AB100" s="61">
        <v>1</v>
      </c>
      <c r="AC100" s="61">
        <v>1</v>
      </c>
      <c r="AD100" s="61">
        <v>1</v>
      </c>
      <c r="AE100" s="61">
        <v>1</v>
      </c>
      <c r="AF100" s="61">
        <v>1</v>
      </c>
      <c r="AG100" s="61">
        <v>1</v>
      </c>
      <c r="AH100" s="61">
        <v>1</v>
      </c>
      <c r="AI100" s="61">
        <v>1</v>
      </c>
      <c r="AJ100" s="61">
        <v>1</v>
      </c>
      <c r="AK100" s="61">
        <v>1</v>
      </c>
      <c r="AL100" s="61">
        <v>1</v>
      </c>
      <c r="AM100" s="61">
        <v>1</v>
      </c>
      <c r="AN100" s="61">
        <v>1</v>
      </c>
      <c r="AO100" s="61">
        <v>1</v>
      </c>
      <c r="AP100" s="61">
        <v>1</v>
      </c>
      <c r="AQ100" s="61">
        <v>1</v>
      </c>
      <c r="AR100" s="61">
        <v>1</v>
      </c>
      <c r="AS100" s="61">
        <v>1</v>
      </c>
      <c r="AT100" s="91">
        <v>1</v>
      </c>
      <c r="AU100" s="91">
        <v>0</v>
      </c>
      <c r="AV100" s="91">
        <v>0</v>
      </c>
      <c r="AW100" s="91">
        <v>2</v>
      </c>
      <c r="AX100" s="91">
        <v>1</v>
      </c>
      <c r="AY100" s="91">
        <v>1</v>
      </c>
      <c r="AZ100" s="91">
        <v>1</v>
      </c>
      <c r="BA100" s="91">
        <v>1</v>
      </c>
      <c r="BB100" s="91">
        <v>1</v>
      </c>
      <c r="BC100" s="91">
        <v>2</v>
      </c>
      <c r="BD100" s="91">
        <v>2</v>
      </c>
      <c r="BE100" s="91">
        <v>1</v>
      </c>
      <c r="BF100" s="91">
        <v>1</v>
      </c>
      <c r="BG100" s="91">
        <v>1</v>
      </c>
      <c r="BH100" s="91">
        <v>0</v>
      </c>
      <c r="BI100" s="91">
        <v>0</v>
      </c>
      <c r="BJ100" s="91">
        <v>0</v>
      </c>
      <c r="BK100" s="91">
        <v>2</v>
      </c>
      <c r="BL100" s="91">
        <v>2</v>
      </c>
      <c r="BM100" s="91">
        <v>2</v>
      </c>
      <c r="BN100" s="91">
        <v>2</v>
      </c>
      <c r="BO100" s="91">
        <v>2</v>
      </c>
      <c r="BP100" s="91">
        <v>2</v>
      </c>
      <c r="BQ100" s="91">
        <v>2</v>
      </c>
      <c r="BR100" s="91">
        <v>2</v>
      </c>
      <c r="BS100" s="91">
        <v>2</v>
      </c>
      <c r="BT100" s="91">
        <v>2</v>
      </c>
    </row>
    <row r="101" spans="2:72" x14ac:dyDescent="0.2">
      <c r="B101" s="67" t="s">
        <v>3483</v>
      </c>
      <c r="C101" s="12">
        <f t="shared" si="117"/>
        <v>60</v>
      </c>
      <c r="D101" s="42">
        <f t="shared" si="118"/>
        <v>61.400207019855088</v>
      </c>
      <c r="E101" s="42">
        <f t="shared" si="119"/>
        <v>1.5595652583043034</v>
      </c>
      <c r="G101" s="23">
        <v>67</v>
      </c>
      <c r="H101" s="61">
        <v>1</v>
      </c>
      <c r="I101" s="61">
        <v>1</v>
      </c>
      <c r="J101" s="61">
        <v>1</v>
      </c>
      <c r="K101" s="61">
        <v>1</v>
      </c>
      <c r="L101" s="61">
        <v>1</v>
      </c>
      <c r="M101" s="61">
        <v>1</v>
      </c>
      <c r="N101" s="61">
        <v>1</v>
      </c>
      <c r="O101" s="61">
        <v>1</v>
      </c>
      <c r="P101" s="61">
        <v>1</v>
      </c>
      <c r="Q101" s="61">
        <v>1</v>
      </c>
      <c r="R101" s="61">
        <v>1</v>
      </c>
      <c r="S101" s="61">
        <v>1</v>
      </c>
      <c r="T101" s="61">
        <v>1</v>
      </c>
      <c r="U101" s="61">
        <v>1</v>
      </c>
      <c r="V101" s="61">
        <v>1</v>
      </c>
      <c r="W101" s="61">
        <v>1</v>
      </c>
      <c r="X101" s="61">
        <v>1</v>
      </c>
      <c r="Y101" s="61">
        <v>1</v>
      </c>
      <c r="Z101" s="61">
        <v>1</v>
      </c>
      <c r="AA101" s="61">
        <v>1</v>
      </c>
      <c r="AB101" s="61">
        <v>1</v>
      </c>
      <c r="AC101" s="61">
        <v>1</v>
      </c>
      <c r="AD101" s="61">
        <v>1</v>
      </c>
      <c r="AE101" s="61">
        <v>1</v>
      </c>
      <c r="AF101" s="61">
        <v>1</v>
      </c>
      <c r="AG101" s="61">
        <v>1</v>
      </c>
      <c r="AH101" s="61">
        <v>1</v>
      </c>
      <c r="AI101" s="61">
        <v>1</v>
      </c>
      <c r="AJ101" s="61">
        <v>1</v>
      </c>
      <c r="AK101" s="61">
        <v>1</v>
      </c>
      <c r="AL101" s="61">
        <v>1</v>
      </c>
      <c r="AM101" s="61">
        <v>1</v>
      </c>
      <c r="AN101" s="61">
        <v>1</v>
      </c>
      <c r="AO101" s="61">
        <v>1</v>
      </c>
      <c r="AP101" s="61">
        <v>1</v>
      </c>
      <c r="AQ101" s="61">
        <v>1</v>
      </c>
      <c r="AR101" s="61">
        <v>1</v>
      </c>
      <c r="AS101" s="61">
        <v>1</v>
      </c>
      <c r="AT101" s="91">
        <v>1</v>
      </c>
      <c r="AU101" s="91">
        <v>0</v>
      </c>
      <c r="AV101" s="91">
        <v>0</v>
      </c>
      <c r="AW101" s="91">
        <v>2</v>
      </c>
      <c r="AX101" s="91">
        <v>1</v>
      </c>
      <c r="AY101" s="91">
        <v>1</v>
      </c>
      <c r="AZ101" s="91">
        <v>1</v>
      </c>
      <c r="BA101" s="91">
        <v>1</v>
      </c>
      <c r="BB101" s="91">
        <v>1</v>
      </c>
      <c r="BC101" s="91">
        <v>2</v>
      </c>
      <c r="BD101" s="91">
        <v>2</v>
      </c>
      <c r="BE101" s="91">
        <v>1</v>
      </c>
      <c r="BF101" s="91">
        <v>1</v>
      </c>
      <c r="BG101" s="91">
        <v>1</v>
      </c>
      <c r="BH101" s="91">
        <v>0</v>
      </c>
      <c r="BI101" s="91">
        <v>0</v>
      </c>
      <c r="BJ101" s="91">
        <v>0</v>
      </c>
      <c r="BK101" s="91">
        <v>2</v>
      </c>
      <c r="BL101" s="91">
        <v>2</v>
      </c>
      <c r="BM101" s="91">
        <v>2</v>
      </c>
      <c r="BN101" s="91">
        <v>2</v>
      </c>
      <c r="BO101" s="91">
        <v>2</v>
      </c>
      <c r="BP101" s="91">
        <v>2</v>
      </c>
      <c r="BQ101" s="91">
        <v>2</v>
      </c>
      <c r="BR101" s="91">
        <v>2</v>
      </c>
      <c r="BS101" s="91">
        <v>2</v>
      </c>
      <c r="BT101" s="91">
        <v>2</v>
      </c>
    </row>
    <row r="102" spans="2:72" x14ac:dyDescent="0.2">
      <c r="B102" s="67" t="s">
        <v>3484</v>
      </c>
      <c r="C102" s="12">
        <f t="shared" si="117"/>
        <v>61</v>
      </c>
      <c r="D102" s="42">
        <f t="shared" si="118"/>
        <v>39.631282292155937</v>
      </c>
      <c r="E102" s="42">
        <f t="shared" si="119"/>
        <v>1.0066345702207542</v>
      </c>
      <c r="G102" s="23">
        <v>68</v>
      </c>
      <c r="H102" s="61">
        <v>1</v>
      </c>
      <c r="I102" s="61">
        <v>1</v>
      </c>
      <c r="J102" s="61">
        <v>1</v>
      </c>
      <c r="K102" s="61">
        <v>1</v>
      </c>
      <c r="L102" s="61">
        <v>1</v>
      </c>
      <c r="M102" s="61">
        <v>1</v>
      </c>
      <c r="N102" s="61">
        <v>1</v>
      </c>
      <c r="O102" s="61">
        <v>1</v>
      </c>
      <c r="P102" s="61">
        <v>1</v>
      </c>
      <c r="Q102" s="61">
        <v>1</v>
      </c>
      <c r="R102" s="61">
        <v>1</v>
      </c>
      <c r="S102" s="61">
        <v>1</v>
      </c>
      <c r="T102" s="61">
        <v>1</v>
      </c>
      <c r="U102" s="61">
        <v>1</v>
      </c>
      <c r="V102" s="61">
        <v>1</v>
      </c>
      <c r="W102" s="61">
        <v>1</v>
      </c>
      <c r="X102" s="61">
        <v>1</v>
      </c>
      <c r="Y102" s="61">
        <v>1</v>
      </c>
      <c r="Z102" s="61">
        <v>1</v>
      </c>
      <c r="AA102" s="61">
        <v>1</v>
      </c>
      <c r="AB102" s="61">
        <v>1</v>
      </c>
      <c r="AC102" s="61">
        <v>1</v>
      </c>
      <c r="AD102" s="61">
        <v>1</v>
      </c>
      <c r="AE102" s="61">
        <v>1</v>
      </c>
      <c r="AF102" s="61">
        <v>1</v>
      </c>
      <c r="AG102" s="61">
        <v>1</v>
      </c>
      <c r="AH102" s="61">
        <v>1</v>
      </c>
      <c r="AI102" s="61">
        <v>1</v>
      </c>
      <c r="AJ102" s="61">
        <v>1</v>
      </c>
      <c r="AK102" s="61">
        <v>1</v>
      </c>
      <c r="AL102" s="61">
        <v>1</v>
      </c>
      <c r="AM102" s="61">
        <v>1</v>
      </c>
      <c r="AN102" s="61">
        <v>1</v>
      </c>
      <c r="AO102" s="61">
        <v>1</v>
      </c>
      <c r="AP102" s="61">
        <v>1</v>
      </c>
      <c r="AQ102" s="61">
        <v>1</v>
      </c>
      <c r="AR102" s="61">
        <v>1</v>
      </c>
      <c r="AS102" s="61">
        <v>1</v>
      </c>
      <c r="AT102" s="91">
        <v>1</v>
      </c>
      <c r="AU102" s="91">
        <v>0</v>
      </c>
      <c r="AV102" s="91">
        <v>0</v>
      </c>
      <c r="AW102" s="91">
        <v>2</v>
      </c>
      <c r="AX102" s="91">
        <v>2</v>
      </c>
      <c r="AY102" s="91">
        <v>2</v>
      </c>
      <c r="AZ102" s="91">
        <v>2</v>
      </c>
      <c r="BA102" s="91">
        <v>2</v>
      </c>
      <c r="BB102" s="91">
        <v>2</v>
      </c>
      <c r="BC102" s="91">
        <v>2</v>
      </c>
      <c r="BD102" s="91">
        <v>2</v>
      </c>
      <c r="BE102" s="91">
        <v>2</v>
      </c>
      <c r="BF102" s="91">
        <v>2</v>
      </c>
      <c r="BG102" s="91">
        <v>2</v>
      </c>
      <c r="BH102" s="91">
        <v>0</v>
      </c>
      <c r="BI102" s="91">
        <v>0</v>
      </c>
      <c r="BJ102" s="91">
        <v>0</v>
      </c>
      <c r="BK102" s="91">
        <v>2</v>
      </c>
      <c r="BL102" s="91">
        <v>2</v>
      </c>
      <c r="BM102" s="91">
        <v>2</v>
      </c>
      <c r="BN102" s="91">
        <v>2</v>
      </c>
      <c r="BO102" s="91">
        <v>2</v>
      </c>
      <c r="BP102" s="91">
        <v>2</v>
      </c>
      <c r="BQ102" s="91">
        <v>2</v>
      </c>
      <c r="BR102" s="91">
        <v>2</v>
      </c>
      <c r="BS102" s="91">
        <v>2</v>
      </c>
      <c r="BT102" s="91">
        <v>2</v>
      </c>
    </row>
    <row r="103" spans="2:72" x14ac:dyDescent="0.2">
      <c r="B103" s="12" t="s">
        <v>5474</v>
      </c>
      <c r="C103" s="12">
        <f t="shared" si="117"/>
        <v>41</v>
      </c>
      <c r="D103" s="42">
        <f t="shared" si="118"/>
        <v>41.412494741270514</v>
      </c>
      <c r="E103" s="42">
        <f t="shared" si="119"/>
        <v>1.0518773664282719</v>
      </c>
      <c r="G103" s="23">
        <v>69</v>
      </c>
      <c r="H103" s="61">
        <v>1</v>
      </c>
      <c r="I103" s="61">
        <v>1</v>
      </c>
      <c r="J103" s="61">
        <v>1</v>
      </c>
      <c r="K103" s="61">
        <v>1</v>
      </c>
      <c r="L103" s="61">
        <v>1</v>
      </c>
      <c r="M103" s="61">
        <v>1</v>
      </c>
      <c r="N103" s="61">
        <v>1</v>
      </c>
      <c r="O103" s="61">
        <v>1</v>
      </c>
      <c r="P103" s="61">
        <v>1</v>
      </c>
      <c r="Q103" s="61">
        <v>1</v>
      </c>
      <c r="R103" s="61">
        <v>1</v>
      </c>
      <c r="S103" s="61">
        <v>1</v>
      </c>
      <c r="T103" s="61">
        <v>1</v>
      </c>
      <c r="U103" s="61">
        <v>1</v>
      </c>
      <c r="V103" s="61">
        <v>1</v>
      </c>
      <c r="W103" s="61">
        <v>1</v>
      </c>
      <c r="X103" s="61">
        <v>1</v>
      </c>
      <c r="Y103" s="61">
        <v>1</v>
      </c>
      <c r="Z103" s="61">
        <v>1</v>
      </c>
      <c r="AA103" s="61">
        <v>1</v>
      </c>
      <c r="AB103" s="61">
        <v>1</v>
      </c>
      <c r="AC103" s="61">
        <v>1</v>
      </c>
      <c r="AD103" s="61">
        <v>1</v>
      </c>
      <c r="AE103" s="61">
        <v>1</v>
      </c>
      <c r="AF103" s="61">
        <v>1</v>
      </c>
      <c r="AG103" s="61">
        <v>1</v>
      </c>
      <c r="AH103" s="61">
        <v>1</v>
      </c>
      <c r="AI103" s="61">
        <v>1</v>
      </c>
      <c r="AJ103" s="61">
        <v>1</v>
      </c>
      <c r="AK103" s="61">
        <v>1</v>
      </c>
      <c r="AL103" s="61">
        <v>1</v>
      </c>
      <c r="AM103" s="61">
        <v>1</v>
      </c>
      <c r="AN103" s="61">
        <v>1</v>
      </c>
      <c r="AO103" s="61">
        <v>1</v>
      </c>
      <c r="AP103" s="61">
        <v>1</v>
      </c>
      <c r="AQ103" s="61">
        <v>1</v>
      </c>
      <c r="AR103" s="61">
        <v>1</v>
      </c>
      <c r="AS103" s="61">
        <v>1</v>
      </c>
      <c r="AT103" s="91">
        <v>1</v>
      </c>
      <c r="AU103" s="91">
        <v>0</v>
      </c>
      <c r="AV103" s="91">
        <v>0</v>
      </c>
      <c r="AW103" s="91">
        <v>2</v>
      </c>
      <c r="AX103" s="91">
        <v>2</v>
      </c>
      <c r="AY103" s="91">
        <v>2</v>
      </c>
      <c r="AZ103" s="91">
        <v>2</v>
      </c>
      <c r="BA103" s="91">
        <v>2</v>
      </c>
      <c r="BB103" s="91">
        <v>2</v>
      </c>
      <c r="BC103" s="91">
        <v>2</v>
      </c>
      <c r="BD103" s="91">
        <v>2</v>
      </c>
      <c r="BE103" s="91">
        <v>2</v>
      </c>
      <c r="BF103" s="91">
        <v>2</v>
      </c>
      <c r="BG103" s="91">
        <v>2</v>
      </c>
      <c r="BH103" s="91">
        <v>0</v>
      </c>
      <c r="BI103" s="91">
        <v>0</v>
      </c>
      <c r="BJ103" s="91">
        <v>0</v>
      </c>
      <c r="BK103" s="91">
        <v>2</v>
      </c>
      <c r="BL103" s="91">
        <v>2</v>
      </c>
      <c r="BM103" s="91">
        <v>2</v>
      </c>
      <c r="BN103" s="91">
        <v>2</v>
      </c>
      <c r="BO103" s="91">
        <v>2</v>
      </c>
      <c r="BP103" s="91">
        <v>2</v>
      </c>
      <c r="BQ103" s="91">
        <v>2</v>
      </c>
      <c r="BR103" s="91">
        <v>2</v>
      </c>
      <c r="BS103" s="91">
        <v>2</v>
      </c>
      <c r="BT103" s="91">
        <v>2</v>
      </c>
    </row>
    <row r="104" spans="2:72" x14ac:dyDescent="0.2">
      <c r="B104" s="12" t="s">
        <v>959</v>
      </c>
      <c r="C104" s="12">
        <f t="shared" si="117"/>
        <v>62</v>
      </c>
      <c r="D104" s="42">
        <f t="shared" si="118"/>
        <v>188.87500000000003</v>
      </c>
      <c r="E104" s="42">
        <f t="shared" si="119"/>
        <v>4.7974249999999756</v>
      </c>
      <c r="G104" s="23">
        <v>70</v>
      </c>
      <c r="H104" s="61">
        <v>1</v>
      </c>
      <c r="I104" s="61">
        <v>1</v>
      </c>
      <c r="J104" s="61">
        <v>1</v>
      </c>
      <c r="K104" s="61">
        <v>1</v>
      </c>
      <c r="L104" s="61">
        <v>1</v>
      </c>
      <c r="M104" s="61">
        <v>1</v>
      </c>
      <c r="N104" s="61">
        <v>1</v>
      </c>
      <c r="O104" s="61">
        <v>1</v>
      </c>
      <c r="P104" s="61">
        <v>1</v>
      </c>
      <c r="Q104" s="61">
        <v>1</v>
      </c>
      <c r="R104" s="61">
        <v>1</v>
      </c>
      <c r="S104" s="61">
        <v>1</v>
      </c>
      <c r="T104" s="61">
        <v>1</v>
      </c>
      <c r="U104" s="61">
        <v>1</v>
      </c>
      <c r="V104" s="61">
        <v>1</v>
      </c>
      <c r="W104" s="61">
        <v>1</v>
      </c>
      <c r="X104" s="61">
        <v>1</v>
      </c>
      <c r="Y104" s="61">
        <v>1</v>
      </c>
      <c r="Z104" s="61">
        <v>1</v>
      </c>
      <c r="AA104" s="61">
        <v>1</v>
      </c>
      <c r="AB104" s="61">
        <v>1</v>
      </c>
      <c r="AC104" s="61">
        <v>1</v>
      </c>
      <c r="AD104" s="61">
        <v>1</v>
      </c>
      <c r="AE104" s="61">
        <v>1</v>
      </c>
      <c r="AF104" s="61">
        <v>1</v>
      </c>
      <c r="AG104" s="61">
        <v>1</v>
      </c>
      <c r="AH104" s="61">
        <v>1</v>
      </c>
      <c r="AI104" s="61">
        <v>1</v>
      </c>
      <c r="AJ104" s="61">
        <v>1</v>
      </c>
      <c r="AK104" s="61">
        <v>1</v>
      </c>
      <c r="AL104" s="61">
        <v>1</v>
      </c>
      <c r="AM104" s="61">
        <v>1</v>
      </c>
      <c r="AN104" s="61">
        <v>1</v>
      </c>
      <c r="AO104" s="61">
        <v>1</v>
      </c>
      <c r="AP104" s="61">
        <v>1</v>
      </c>
      <c r="AQ104" s="61">
        <v>1</v>
      </c>
      <c r="AR104" s="61">
        <v>1</v>
      </c>
      <c r="AS104" s="61">
        <v>1</v>
      </c>
      <c r="AT104" s="91">
        <v>2</v>
      </c>
      <c r="AU104" s="91">
        <v>0</v>
      </c>
      <c r="AV104" s="91">
        <v>0</v>
      </c>
      <c r="AW104" s="91">
        <v>2</v>
      </c>
      <c r="AX104" s="91">
        <v>2</v>
      </c>
      <c r="AY104" s="91">
        <v>2</v>
      </c>
      <c r="AZ104" s="91">
        <v>2</v>
      </c>
      <c r="BA104" s="91">
        <v>2</v>
      </c>
      <c r="BB104" s="91">
        <v>2</v>
      </c>
      <c r="BC104" s="91">
        <v>2</v>
      </c>
      <c r="BD104" s="91">
        <v>2</v>
      </c>
      <c r="BE104" s="91">
        <v>2</v>
      </c>
      <c r="BF104" s="91">
        <v>2</v>
      </c>
      <c r="BG104" s="91">
        <v>2</v>
      </c>
      <c r="BH104" s="91">
        <v>0</v>
      </c>
      <c r="BI104" s="91">
        <v>0</v>
      </c>
      <c r="BJ104" s="91">
        <v>0</v>
      </c>
      <c r="BK104" s="91">
        <v>2</v>
      </c>
      <c r="BL104" s="91">
        <v>2</v>
      </c>
      <c r="BM104" s="91">
        <v>2</v>
      </c>
      <c r="BN104" s="91">
        <v>2</v>
      </c>
      <c r="BO104" s="91">
        <v>2</v>
      </c>
      <c r="BP104" s="91">
        <v>2</v>
      </c>
      <c r="BQ104" s="91">
        <v>2</v>
      </c>
      <c r="BR104" s="91">
        <v>2</v>
      </c>
      <c r="BS104" s="91">
        <v>2</v>
      </c>
      <c r="BT104" s="91">
        <v>2</v>
      </c>
    </row>
    <row r="105" spans="2:72" x14ac:dyDescent="0.2">
      <c r="B105" s="12" t="s">
        <v>963</v>
      </c>
      <c r="C105" s="12">
        <f t="shared" si="117"/>
        <v>63</v>
      </c>
      <c r="D105" s="42">
        <f t="shared" si="118"/>
        <v>106.33333333333336</v>
      </c>
      <c r="E105" s="42">
        <f t="shared" si="119"/>
        <v>2.7008666666666841</v>
      </c>
      <c r="G105" s="23">
        <v>71</v>
      </c>
      <c r="H105" s="61">
        <v>1</v>
      </c>
      <c r="I105" s="61">
        <v>1</v>
      </c>
      <c r="J105" s="61">
        <v>1</v>
      </c>
      <c r="K105" s="61">
        <v>1</v>
      </c>
      <c r="L105" s="61">
        <v>1</v>
      </c>
      <c r="M105" s="61">
        <v>1</v>
      </c>
      <c r="N105" s="61">
        <v>1</v>
      </c>
      <c r="O105" s="61">
        <v>1</v>
      </c>
      <c r="P105" s="61">
        <v>1</v>
      </c>
      <c r="Q105" s="61">
        <v>1</v>
      </c>
      <c r="R105" s="61">
        <v>1</v>
      </c>
      <c r="S105" s="61">
        <v>1</v>
      </c>
      <c r="T105" s="61">
        <v>1</v>
      </c>
      <c r="U105" s="61">
        <v>1</v>
      </c>
      <c r="V105" s="61">
        <v>1</v>
      </c>
      <c r="W105" s="61">
        <v>1</v>
      </c>
      <c r="X105" s="61">
        <v>1</v>
      </c>
      <c r="Y105" s="61">
        <v>1</v>
      </c>
      <c r="Z105" s="61">
        <v>1</v>
      </c>
      <c r="AA105" s="61">
        <v>1</v>
      </c>
      <c r="AB105" s="61">
        <v>1</v>
      </c>
      <c r="AC105" s="61">
        <v>1</v>
      </c>
      <c r="AD105" s="61">
        <v>1</v>
      </c>
      <c r="AE105" s="61">
        <v>1</v>
      </c>
      <c r="AF105" s="61">
        <v>1</v>
      </c>
      <c r="AG105" s="61">
        <v>1</v>
      </c>
      <c r="AH105" s="61">
        <v>1</v>
      </c>
      <c r="AI105" s="61">
        <v>1</v>
      </c>
      <c r="AJ105" s="61">
        <v>1</v>
      </c>
      <c r="AK105" s="61">
        <v>1</v>
      </c>
      <c r="AL105" s="61">
        <v>1</v>
      </c>
      <c r="AM105" s="61">
        <v>1</v>
      </c>
      <c r="AN105" s="61">
        <v>1</v>
      </c>
      <c r="AO105" s="61">
        <v>1</v>
      </c>
      <c r="AP105" s="61">
        <v>1</v>
      </c>
      <c r="AQ105" s="61">
        <v>1</v>
      </c>
      <c r="AR105" s="61">
        <v>1</v>
      </c>
      <c r="AS105" s="61">
        <v>1</v>
      </c>
      <c r="AT105" s="91">
        <v>2</v>
      </c>
      <c r="AU105" s="91">
        <v>1</v>
      </c>
      <c r="AV105" s="91">
        <v>1</v>
      </c>
      <c r="AW105" s="91">
        <v>2</v>
      </c>
      <c r="AX105" s="91">
        <v>2</v>
      </c>
      <c r="AY105" s="91">
        <v>2</v>
      </c>
      <c r="AZ105" s="91">
        <v>2</v>
      </c>
      <c r="BA105" s="91">
        <v>2</v>
      </c>
      <c r="BB105" s="91">
        <v>2</v>
      </c>
      <c r="BC105" s="91">
        <v>2</v>
      </c>
      <c r="BD105" s="91">
        <v>3</v>
      </c>
      <c r="BE105" s="91">
        <v>2</v>
      </c>
      <c r="BF105" s="91">
        <v>2</v>
      </c>
      <c r="BG105" s="91">
        <v>2</v>
      </c>
      <c r="BH105" s="91">
        <v>1</v>
      </c>
      <c r="BI105" s="91">
        <v>1</v>
      </c>
      <c r="BJ105" s="91">
        <v>1</v>
      </c>
      <c r="BK105" s="91">
        <v>2</v>
      </c>
      <c r="BL105" s="91">
        <v>2</v>
      </c>
      <c r="BM105" s="91">
        <v>2</v>
      </c>
      <c r="BN105" s="91">
        <v>3</v>
      </c>
      <c r="BO105" s="91">
        <v>2</v>
      </c>
      <c r="BP105" s="91">
        <v>2</v>
      </c>
      <c r="BQ105" s="91">
        <v>2</v>
      </c>
      <c r="BR105" s="91">
        <v>2</v>
      </c>
      <c r="BS105" s="91">
        <v>2</v>
      </c>
      <c r="BT105" s="91">
        <v>2</v>
      </c>
    </row>
    <row r="106" spans="2:72" x14ac:dyDescent="0.2">
      <c r="B106" s="12" t="s">
        <v>960</v>
      </c>
      <c r="C106" s="12">
        <f t="shared" si="117"/>
        <v>64</v>
      </c>
      <c r="D106" s="42">
        <f t="shared" si="118"/>
        <v>158.72727272727275</v>
      </c>
      <c r="E106" s="42">
        <f t="shared" si="119"/>
        <v>4.0316727272727348</v>
      </c>
      <c r="G106" s="23">
        <v>72</v>
      </c>
      <c r="H106" s="61">
        <v>1</v>
      </c>
      <c r="I106" s="61">
        <v>1</v>
      </c>
      <c r="J106" s="61">
        <v>1</v>
      </c>
      <c r="K106" s="61">
        <v>1</v>
      </c>
      <c r="L106" s="61">
        <v>1</v>
      </c>
      <c r="M106" s="61">
        <v>1</v>
      </c>
      <c r="N106" s="61">
        <v>1</v>
      </c>
      <c r="O106" s="61">
        <v>1</v>
      </c>
      <c r="P106" s="61">
        <v>1</v>
      </c>
      <c r="Q106" s="61">
        <v>1</v>
      </c>
      <c r="R106" s="61">
        <v>1</v>
      </c>
      <c r="S106" s="61">
        <v>1</v>
      </c>
      <c r="T106" s="61">
        <v>1</v>
      </c>
      <c r="U106" s="61">
        <v>1</v>
      </c>
      <c r="V106" s="61">
        <v>1</v>
      </c>
      <c r="W106" s="61">
        <v>1</v>
      </c>
      <c r="X106" s="61">
        <v>1</v>
      </c>
      <c r="Y106" s="61">
        <v>1</v>
      </c>
      <c r="Z106" s="61">
        <v>1</v>
      </c>
      <c r="AA106" s="61">
        <v>1</v>
      </c>
      <c r="AB106" s="61">
        <v>1</v>
      </c>
      <c r="AC106" s="61">
        <v>1</v>
      </c>
      <c r="AD106" s="61">
        <v>1</v>
      </c>
      <c r="AE106" s="61">
        <v>1</v>
      </c>
      <c r="AF106" s="61">
        <v>1</v>
      </c>
      <c r="AG106" s="61">
        <v>1</v>
      </c>
      <c r="AH106" s="61">
        <v>1</v>
      </c>
      <c r="AI106" s="61">
        <v>1</v>
      </c>
      <c r="AJ106" s="61">
        <v>1</v>
      </c>
      <c r="AK106" s="61">
        <v>1</v>
      </c>
      <c r="AL106" s="61">
        <v>1</v>
      </c>
      <c r="AM106" s="61">
        <v>1</v>
      </c>
      <c r="AN106" s="61">
        <v>1</v>
      </c>
      <c r="AO106" s="61">
        <v>1</v>
      </c>
      <c r="AP106" s="61">
        <v>1</v>
      </c>
      <c r="AQ106" s="61">
        <v>1</v>
      </c>
      <c r="AR106" s="61">
        <v>1</v>
      </c>
      <c r="AS106" s="61">
        <v>1</v>
      </c>
      <c r="AT106" s="91">
        <v>2</v>
      </c>
      <c r="AU106" s="91">
        <v>1</v>
      </c>
      <c r="AV106" s="91">
        <v>1</v>
      </c>
      <c r="AW106" s="91">
        <v>2</v>
      </c>
      <c r="AX106" s="91">
        <v>2</v>
      </c>
      <c r="AY106" s="91">
        <v>2</v>
      </c>
      <c r="AZ106" s="91">
        <v>2</v>
      </c>
      <c r="BA106" s="91">
        <v>2</v>
      </c>
      <c r="BB106" s="91">
        <v>2</v>
      </c>
      <c r="BC106" s="91">
        <v>2</v>
      </c>
      <c r="BD106" s="91">
        <v>3</v>
      </c>
      <c r="BE106" s="91">
        <v>2</v>
      </c>
      <c r="BF106" s="91">
        <v>2</v>
      </c>
      <c r="BG106" s="91">
        <v>2</v>
      </c>
      <c r="BH106" s="91">
        <v>1</v>
      </c>
      <c r="BI106" s="91">
        <v>1</v>
      </c>
      <c r="BJ106" s="91">
        <v>1</v>
      </c>
      <c r="BK106" s="91">
        <v>2</v>
      </c>
      <c r="BL106" s="91">
        <v>2</v>
      </c>
      <c r="BM106" s="91">
        <v>2</v>
      </c>
      <c r="BN106" s="91">
        <v>3</v>
      </c>
      <c r="BO106" s="91">
        <v>2</v>
      </c>
      <c r="BP106" s="91">
        <v>2</v>
      </c>
      <c r="BQ106" s="91">
        <v>2</v>
      </c>
      <c r="BR106" s="91">
        <v>2</v>
      </c>
      <c r="BS106" s="91">
        <v>2</v>
      </c>
      <c r="BT106" s="91">
        <v>2</v>
      </c>
    </row>
    <row r="107" spans="2:72" x14ac:dyDescent="0.2">
      <c r="B107" s="12" t="s">
        <v>962</v>
      </c>
      <c r="C107" s="12">
        <f t="shared" si="117"/>
        <v>65</v>
      </c>
      <c r="D107" s="42">
        <f t="shared" si="118"/>
        <v>121.33612485725162</v>
      </c>
      <c r="E107" s="42">
        <f t="shared" si="119"/>
        <v>3.0819375713741692</v>
      </c>
      <c r="G107" s="23">
        <v>73</v>
      </c>
      <c r="H107" s="61">
        <v>1</v>
      </c>
      <c r="I107" s="61">
        <v>1</v>
      </c>
      <c r="J107" s="61">
        <v>1</v>
      </c>
      <c r="K107" s="61">
        <v>1</v>
      </c>
      <c r="L107" s="61">
        <v>1</v>
      </c>
      <c r="M107" s="61">
        <v>1</v>
      </c>
      <c r="N107" s="61">
        <v>1</v>
      </c>
      <c r="O107" s="61">
        <v>1</v>
      </c>
      <c r="P107" s="61">
        <v>1</v>
      </c>
      <c r="Q107" s="61">
        <v>1</v>
      </c>
      <c r="R107" s="61">
        <v>1</v>
      </c>
      <c r="S107" s="61">
        <v>1</v>
      </c>
      <c r="T107" s="61">
        <v>1</v>
      </c>
      <c r="U107" s="61">
        <v>1</v>
      </c>
      <c r="V107" s="61">
        <v>1</v>
      </c>
      <c r="W107" s="61">
        <v>1</v>
      </c>
      <c r="X107" s="61">
        <v>1</v>
      </c>
      <c r="Y107" s="61">
        <v>1</v>
      </c>
      <c r="Z107" s="61">
        <v>1</v>
      </c>
      <c r="AA107" s="61">
        <v>1</v>
      </c>
      <c r="AB107" s="61">
        <v>1</v>
      </c>
      <c r="AC107" s="61">
        <v>1</v>
      </c>
      <c r="AD107" s="61">
        <v>1</v>
      </c>
      <c r="AE107" s="61">
        <v>1</v>
      </c>
      <c r="AF107" s="61">
        <v>1</v>
      </c>
      <c r="AG107" s="61">
        <v>1</v>
      </c>
      <c r="AH107" s="61">
        <v>1</v>
      </c>
      <c r="AI107" s="61">
        <v>1</v>
      </c>
      <c r="AJ107" s="61">
        <v>1</v>
      </c>
      <c r="AK107" s="61">
        <v>1</v>
      </c>
      <c r="AL107" s="61">
        <v>1</v>
      </c>
      <c r="AM107" s="61">
        <v>1</v>
      </c>
      <c r="AN107" s="61">
        <v>1</v>
      </c>
      <c r="AO107" s="61">
        <v>1</v>
      </c>
      <c r="AP107" s="61">
        <v>1</v>
      </c>
      <c r="AQ107" s="61">
        <v>1</v>
      </c>
      <c r="AR107" s="61">
        <v>1</v>
      </c>
      <c r="AS107" s="61">
        <v>1</v>
      </c>
      <c r="AT107" s="91">
        <v>2</v>
      </c>
      <c r="AU107" s="91">
        <v>1</v>
      </c>
      <c r="AV107" s="91">
        <v>1</v>
      </c>
      <c r="AW107" s="91">
        <v>2</v>
      </c>
      <c r="AX107" s="91">
        <v>2</v>
      </c>
      <c r="AY107" s="91">
        <v>2</v>
      </c>
      <c r="AZ107" s="91">
        <v>2</v>
      </c>
      <c r="BA107" s="91">
        <v>2</v>
      </c>
      <c r="BB107" s="91">
        <v>2</v>
      </c>
      <c r="BC107" s="91">
        <v>2</v>
      </c>
      <c r="BD107" s="91">
        <v>3</v>
      </c>
      <c r="BE107" s="91">
        <v>2</v>
      </c>
      <c r="BF107" s="91">
        <v>2</v>
      </c>
      <c r="BG107" s="91">
        <v>2</v>
      </c>
      <c r="BH107" s="91">
        <v>1</v>
      </c>
      <c r="BI107" s="91">
        <v>1</v>
      </c>
      <c r="BJ107" s="91">
        <v>1</v>
      </c>
      <c r="BK107" s="91">
        <v>2</v>
      </c>
      <c r="BL107" s="91">
        <v>2</v>
      </c>
      <c r="BM107" s="91">
        <v>2</v>
      </c>
      <c r="BN107" s="91">
        <v>3</v>
      </c>
      <c r="BO107" s="91">
        <v>2</v>
      </c>
      <c r="BP107" s="91">
        <v>2</v>
      </c>
      <c r="BQ107" s="91">
        <v>2</v>
      </c>
      <c r="BR107" s="91">
        <v>2</v>
      </c>
      <c r="BS107" s="91">
        <v>2</v>
      </c>
      <c r="BT107" s="91">
        <v>2</v>
      </c>
    </row>
    <row r="108" spans="2:72" x14ac:dyDescent="0.2">
      <c r="B108" s="12" t="s">
        <v>964</v>
      </c>
      <c r="C108" s="12">
        <f t="shared" si="117"/>
        <v>66</v>
      </c>
      <c r="D108" s="42">
        <f t="shared" si="118"/>
        <v>105.34233507008148</v>
      </c>
      <c r="E108" s="42">
        <f t="shared" si="119"/>
        <v>2.6756953107800427</v>
      </c>
      <c r="G108" s="23">
        <v>74</v>
      </c>
      <c r="H108" s="61">
        <v>2</v>
      </c>
      <c r="I108" s="61">
        <v>2</v>
      </c>
      <c r="J108" s="61">
        <v>2</v>
      </c>
      <c r="K108" s="61">
        <v>2</v>
      </c>
      <c r="L108" s="61">
        <v>2</v>
      </c>
      <c r="M108" s="61">
        <v>2</v>
      </c>
      <c r="N108" s="61">
        <v>2</v>
      </c>
      <c r="O108" s="61">
        <v>2</v>
      </c>
      <c r="P108" s="61">
        <v>2</v>
      </c>
      <c r="Q108" s="61">
        <v>2</v>
      </c>
      <c r="R108" s="61">
        <v>2</v>
      </c>
      <c r="S108" s="61">
        <v>2</v>
      </c>
      <c r="T108" s="61">
        <v>2</v>
      </c>
      <c r="U108" s="61">
        <v>2</v>
      </c>
      <c r="V108" s="61">
        <v>2</v>
      </c>
      <c r="W108" s="61">
        <v>2</v>
      </c>
      <c r="X108" s="61">
        <v>2</v>
      </c>
      <c r="Y108" s="61">
        <v>2</v>
      </c>
      <c r="Z108" s="61">
        <v>2</v>
      </c>
      <c r="AA108" s="61">
        <v>2</v>
      </c>
      <c r="AB108" s="61">
        <v>2</v>
      </c>
      <c r="AC108" s="61">
        <v>2</v>
      </c>
      <c r="AD108" s="61">
        <v>2</v>
      </c>
      <c r="AE108" s="61">
        <v>2</v>
      </c>
      <c r="AF108" s="61">
        <v>2</v>
      </c>
      <c r="AG108" s="61">
        <v>2</v>
      </c>
      <c r="AH108" s="61">
        <v>2</v>
      </c>
      <c r="AI108" s="61">
        <v>2</v>
      </c>
      <c r="AJ108" s="61">
        <v>2</v>
      </c>
      <c r="AK108" s="61">
        <v>2</v>
      </c>
      <c r="AL108" s="61">
        <v>2</v>
      </c>
      <c r="AM108" s="61">
        <v>2</v>
      </c>
      <c r="AN108" s="61">
        <v>2</v>
      </c>
      <c r="AO108" s="61">
        <v>2</v>
      </c>
      <c r="AP108" s="61">
        <v>2</v>
      </c>
      <c r="AQ108" s="61">
        <v>2</v>
      </c>
      <c r="AR108" s="61">
        <v>2</v>
      </c>
      <c r="AS108" s="61">
        <v>2</v>
      </c>
      <c r="AT108" s="91">
        <v>2</v>
      </c>
      <c r="AU108" s="91">
        <v>1</v>
      </c>
      <c r="AV108" s="91">
        <v>1</v>
      </c>
      <c r="AW108" s="91">
        <v>2</v>
      </c>
      <c r="AX108" s="91">
        <v>2</v>
      </c>
      <c r="AY108" s="91">
        <v>2</v>
      </c>
      <c r="AZ108" s="91">
        <v>2</v>
      </c>
      <c r="BA108" s="91">
        <v>2</v>
      </c>
      <c r="BB108" s="91">
        <v>2</v>
      </c>
      <c r="BC108" s="91">
        <v>2</v>
      </c>
      <c r="BD108" s="91">
        <v>3</v>
      </c>
      <c r="BE108" s="91">
        <v>2</v>
      </c>
      <c r="BF108" s="91">
        <v>2</v>
      </c>
      <c r="BG108" s="91">
        <v>2</v>
      </c>
      <c r="BH108" s="91">
        <v>1</v>
      </c>
      <c r="BI108" s="91">
        <v>1</v>
      </c>
      <c r="BJ108" s="91">
        <v>1</v>
      </c>
      <c r="BK108" s="91">
        <v>2</v>
      </c>
      <c r="BL108" s="91">
        <v>2</v>
      </c>
      <c r="BM108" s="91">
        <v>2</v>
      </c>
      <c r="BN108" s="91">
        <v>3</v>
      </c>
      <c r="BO108" s="91">
        <v>2</v>
      </c>
      <c r="BP108" s="91">
        <v>2</v>
      </c>
      <c r="BQ108" s="91">
        <v>2</v>
      </c>
      <c r="BR108" s="91">
        <v>2</v>
      </c>
      <c r="BS108" s="91">
        <v>2</v>
      </c>
      <c r="BT108" s="91">
        <v>2</v>
      </c>
    </row>
    <row r="109" spans="2:72" x14ac:dyDescent="0.2">
      <c r="G109" s="23">
        <v>75</v>
      </c>
      <c r="H109" s="61">
        <v>2</v>
      </c>
      <c r="I109" s="61">
        <v>2</v>
      </c>
      <c r="J109" s="61">
        <v>2</v>
      </c>
      <c r="K109" s="61">
        <v>2</v>
      </c>
      <c r="L109" s="61">
        <v>2</v>
      </c>
      <c r="M109" s="61">
        <v>2</v>
      </c>
      <c r="N109" s="61">
        <v>2</v>
      </c>
      <c r="O109" s="61">
        <v>2</v>
      </c>
      <c r="P109" s="61">
        <v>2</v>
      </c>
      <c r="Q109" s="61">
        <v>2</v>
      </c>
      <c r="R109" s="61">
        <v>2</v>
      </c>
      <c r="S109" s="61">
        <v>2</v>
      </c>
      <c r="T109" s="61">
        <v>2</v>
      </c>
      <c r="U109" s="61">
        <v>2</v>
      </c>
      <c r="V109" s="61">
        <v>2</v>
      </c>
      <c r="W109" s="61">
        <v>2</v>
      </c>
      <c r="X109" s="61">
        <v>2</v>
      </c>
      <c r="Y109" s="61">
        <v>2</v>
      </c>
      <c r="Z109" s="61">
        <v>2</v>
      </c>
      <c r="AA109" s="61">
        <v>2</v>
      </c>
      <c r="AB109" s="61">
        <v>2</v>
      </c>
      <c r="AC109" s="61">
        <v>2</v>
      </c>
      <c r="AD109" s="61">
        <v>2</v>
      </c>
      <c r="AE109" s="61">
        <v>2</v>
      </c>
      <c r="AF109" s="61">
        <v>2</v>
      </c>
      <c r="AG109" s="61">
        <v>2</v>
      </c>
      <c r="AH109" s="61">
        <v>2</v>
      </c>
      <c r="AI109" s="61">
        <v>2</v>
      </c>
      <c r="AJ109" s="61">
        <v>2</v>
      </c>
      <c r="AK109" s="61">
        <v>2</v>
      </c>
      <c r="AL109" s="61">
        <v>2</v>
      </c>
      <c r="AM109" s="61">
        <v>2</v>
      </c>
      <c r="AN109" s="61">
        <v>2</v>
      </c>
      <c r="AO109" s="61">
        <v>2</v>
      </c>
      <c r="AP109" s="61">
        <v>2</v>
      </c>
      <c r="AQ109" s="61">
        <v>2</v>
      </c>
      <c r="AR109" s="61">
        <v>2</v>
      </c>
      <c r="AS109" s="61">
        <v>2</v>
      </c>
      <c r="AT109" s="91">
        <v>2</v>
      </c>
      <c r="AU109" s="91">
        <v>1</v>
      </c>
      <c r="AV109" s="91">
        <v>1</v>
      </c>
      <c r="AW109" s="91">
        <v>2</v>
      </c>
      <c r="AX109" s="91">
        <v>2</v>
      </c>
      <c r="AY109" s="91">
        <v>2</v>
      </c>
      <c r="AZ109" s="91">
        <v>2</v>
      </c>
      <c r="BA109" s="91">
        <v>2</v>
      </c>
      <c r="BB109" s="91">
        <v>2</v>
      </c>
      <c r="BC109" s="91">
        <v>2</v>
      </c>
      <c r="BD109" s="91">
        <v>3</v>
      </c>
      <c r="BE109" s="91">
        <v>2</v>
      </c>
      <c r="BF109" s="91">
        <v>2</v>
      </c>
      <c r="BG109" s="91">
        <v>2</v>
      </c>
      <c r="BH109" s="91">
        <v>1</v>
      </c>
      <c r="BI109" s="91">
        <v>1</v>
      </c>
      <c r="BJ109" s="91">
        <v>1</v>
      </c>
      <c r="BK109" s="91">
        <v>2</v>
      </c>
      <c r="BL109" s="91">
        <v>2</v>
      </c>
      <c r="BM109" s="91">
        <v>2</v>
      </c>
      <c r="BN109" s="91">
        <v>3</v>
      </c>
      <c r="BO109" s="91">
        <v>2</v>
      </c>
      <c r="BP109" s="91">
        <v>2</v>
      </c>
      <c r="BQ109" s="91">
        <v>2</v>
      </c>
      <c r="BR109" s="91">
        <v>2</v>
      </c>
      <c r="BS109" s="91">
        <v>2</v>
      </c>
      <c r="BT109" s="91">
        <v>2</v>
      </c>
    </row>
    <row r="110" spans="2:72" x14ac:dyDescent="0.2">
      <c r="G110" s="23">
        <v>76</v>
      </c>
      <c r="H110" s="61">
        <v>2</v>
      </c>
      <c r="I110" s="61">
        <v>2</v>
      </c>
      <c r="J110" s="61">
        <v>2</v>
      </c>
      <c r="K110" s="61">
        <v>2</v>
      </c>
      <c r="L110" s="61">
        <v>2</v>
      </c>
      <c r="M110" s="61">
        <v>2</v>
      </c>
      <c r="N110" s="61">
        <v>2</v>
      </c>
      <c r="O110" s="61">
        <v>2</v>
      </c>
      <c r="P110" s="61">
        <v>2</v>
      </c>
      <c r="Q110" s="61">
        <v>2</v>
      </c>
      <c r="R110" s="61">
        <v>2</v>
      </c>
      <c r="S110" s="61">
        <v>2</v>
      </c>
      <c r="T110" s="61">
        <v>2</v>
      </c>
      <c r="U110" s="61">
        <v>2</v>
      </c>
      <c r="V110" s="61">
        <v>2</v>
      </c>
      <c r="W110" s="61">
        <v>2</v>
      </c>
      <c r="X110" s="61">
        <v>2</v>
      </c>
      <c r="Y110" s="61">
        <v>2</v>
      </c>
      <c r="Z110" s="61">
        <v>2</v>
      </c>
      <c r="AA110" s="61">
        <v>2</v>
      </c>
      <c r="AB110" s="61">
        <v>2</v>
      </c>
      <c r="AC110" s="61">
        <v>2</v>
      </c>
      <c r="AD110" s="61">
        <v>2</v>
      </c>
      <c r="AE110" s="61">
        <v>2</v>
      </c>
      <c r="AF110" s="61">
        <v>2</v>
      </c>
      <c r="AG110" s="61">
        <v>2</v>
      </c>
      <c r="AH110" s="61">
        <v>2</v>
      </c>
      <c r="AI110" s="61">
        <v>2</v>
      </c>
      <c r="AJ110" s="61">
        <v>2</v>
      </c>
      <c r="AK110" s="61">
        <v>2</v>
      </c>
      <c r="AL110" s="61">
        <v>2</v>
      </c>
      <c r="AM110" s="61">
        <v>2</v>
      </c>
      <c r="AN110" s="61">
        <v>2</v>
      </c>
      <c r="AO110" s="61">
        <v>2</v>
      </c>
      <c r="AP110" s="61">
        <v>2</v>
      </c>
      <c r="AQ110" s="61">
        <v>2</v>
      </c>
      <c r="AR110" s="61">
        <v>2</v>
      </c>
      <c r="AS110" s="61">
        <v>2</v>
      </c>
      <c r="AT110" s="91">
        <v>2</v>
      </c>
      <c r="AU110" s="91">
        <v>1</v>
      </c>
      <c r="AV110" s="91">
        <v>1</v>
      </c>
      <c r="AW110" s="91">
        <v>3</v>
      </c>
      <c r="AX110" s="91">
        <v>2</v>
      </c>
      <c r="AY110" s="91">
        <v>2</v>
      </c>
      <c r="AZ110" s="91">
        <v>2</v>
      </c>
      <c r="BA110" s="91">
        <v>2</v>
      </c>
      <c r="BB110" s="91">
        <v>2</v>
      </c>
      <c r="BC110" s="91">
        <v>3</v>
      </c>
      <c r="BD110" s="91">
        <v>3</v>
      </c>
      <c r="BE110" s="91">
        <v>2</v>
      </c>
      <c r="BF110" s="91">
        <v>2</v>
      </c>
      <c r="BG110" s="91">
        <v>2</v>
      </c>
      <c r="BH110" s="91">
        <v>1</v>
      </c>
      <c r="BI110" s="91">
        <v>1</v>
      </c>
      <c r="BJ110" s="91">
        <v>1</v>
      </c>
      <c r="BK110" s="91">
        <v>3</v>
      </c>
      <c r="BL110" s="91">
        <v>3</v>
      </c>
      <c r="BM110" s="91">
        <v>3</v>
      </c>
      <c r="BN110" s="91">
        <v>3</v>
      </c>
      <c r="BO110" s="91">
        <v>3</v>
      </c>
      <c r="BP110" s="91">
        <v>3</v>
      </c>
      <c r="BQ110" s="91">
        <v>3</v>
      </c>
      <c r="BR110" s="91">
        <v>3</v>
      </c>
      <c r="BS110" s="91">
        <v>3</v>
      </c>
      <c r="BT110" s="91">
        <v>3</v>
      </c>
    </row>
    <row r="111" spans="2:72" x14ac:dyDescent="0.2">
      <c r="G111" s="23">
        <v>77</v>
      </c>
      <c r="H111" s="61">
        <v>2</v>
      </c>
      <c r="I111" s="61">
        <v>2</v>
      </c>
      <c r="J111" s="61">
        <v>2</v>
      </c>
      <c r="K111" s="61">
        <v>2</v>
      </c>
      <c r="L111" s="61">
        <v>2</v>
      </c>
      <c r="M111" s="61">
        <v>2</v>
      </c>
      <c r="N111" s="61">
        <v>2</v>
      </c>
      <c r="O111" s="61">
        <v>2</v>
      </c>
      <c r="P111" s="61">
        <v>2</v>
      </c>
      <c r="Q111" s="61">
        <v>2</v>
      </c>
      <c r="R111" s="61">
        <v>2</v>
      </c>
      <c r="S111" s="61">
        <v>2</v>
      </c>
      <c r="T111" s="61">
        <v>2</v>
      </c>
      <c r="U111" s="61">
        <v>2</v>
      </c>
      <c r="V111" s="61">
        <v>2</v>
      </c>
      <c r="W111" s="61">
        <v>2</v>
      </c>
      <c r="X111" s="61">
        <v>2</v>
      </c>
      <c r="Y111" s="61">
        <v>2</v>
      </c>
      <c r="Z111" s="61">
        <v>2</v>
      </c>
      <c r="AA111" s="61">
        <v>2</v>
      </c>
      <c r="AB111" s="61">
        <v>2</v>
      </c>
      <c r="AC111" s="61">
        <v>2</v>
      </c>
      <c r="AD111" s="61">
        <v>2</v>
      </c>
      <c r="AE111" s="61">
        <v>2</v>
      </c>
      <c r="AF111" s="61">
        <v>2</v>
      </c>
      <c r="AG111" s="61">
        <v>2</v>
      </c>
      <c r="AH111" s="61">
        <v>2</v>
      </c>
      <c r="AI111" s="61">
        <v>2</v>
      </c>
      <c r="AJ111" s="61">
        <v>2</v>
      </c>
      <c r="AK111" s="61">
        <v>2</v>
      </c>
      <c r="AL111" s="61">
        <v>2</v>
      </c>
      <c r="AM111" s="61">
        <v>2</v>
      </c>
      <c r="AN111" s="61">
        <v>2</v>
      </c>
      <c r="AO111" s="61">
        <v>2</v>
      </c>
      <c r="AP111" s="61">
        <v>2</v>
      </c>
      <c r="AQ111" s="61">
        <v>2</v>
      </c>
      <c r="AR111" s="61">
        <v>2</v>
      </c>
      <c r="AS111" s="61">
        <v>2</v>
      </c>
      <c r="AT111" s="91">
        <v>2</v>
      </c>
      <c r="AU111" s="91">
        <v>1</v>
      </c>
      <c r="AV111" s="91">
        <v>1</v>
      </c>
      <c r="AW111" s="91">
        <v>3</v>
      </c>
      <c r="AX111" s="91">
        <v>3</v>
      </c>
      <c r="AY111" s="91">
        <v>3</v>
      </c>
      <c r="AZ111" s="91">
        <v>3</v>
      </c>
      <c r="BA111" s="91">
        <v>3</v>
      </c>
      <c r="BB111" s="91">
        <v>3</v>
      </c>
      <c r="BC111" s="91">
        <v>3</v>
      </c>
      <c r="BD111" s="91">
        <v>3</v>
      </c>
      <c r="BE111" s="91">
        <v>3</v>
      </c>
      <c r="BF111" s="91">
        <v>3</v>
      </c>
      <c r="BG111" s="91">
        <v>3</v>
      </c>
      <c r="BH111" s="91">
        <v>1</v>
      </c>
      <c r="BI111" s="91">
        <v>1</v>
      </c>
      <c r="BJ111" s="91">
        <v>1</v>
      </c>
      <c r="BK111" s="91">
        <v>3</v>
      </c>
      <c r="BL111" s="91">
        <v>3</v>
      </c>
      <c r="BM111" s="91">
        <v>3</v>
      </c>
      <c r="BN111" s="91">
        <v>3</v>
      </c>
      <c r="BO111" s="91">
        <v>3</v>
      </c>
      <c r="BP111" s="91">
        <v>3</v>
      </c>
      <c r="BQ111" s="91">
        <v>3</v>
      </c>
      <c r="BR111" s="91">
        <v>3</v>
      </c>
      <c r="BS111" s="91">
        <v>3</v>
      </c>
      <c r="BT111" s="91">
        <v>3</v>
      </c>
    </row>
    <row r="112" spans="2:72" x14ac:dyDescent="0.2">
      <c r="G112" s="23">
        <v>78</v>
      </c>
      <c r="H112" s="61">
        <v>2</v>
      </c>
      <c r="I112" s="61">
        <v>2</v>
      </c>
      <c r="J112" s="61">
        <v>2</v>
      </c>
      <c r="K112" s="61">
        <v>2</v>
      </c>
      <c r="L112" s="61">
        <v>2</v>
      </c>
      <c r="M112" s="61">
        <v>2</v>
      </c>
      <c r="N112" s="61">
        <v>2</v>
      </c>
      <c r="O112" s="61">
        <v>2</v>
      </c>
      <c r="P112" s="61">
        <v>2</v>
      </c>
      <c r="Q112" s="61">
        <v>2</v>
      </c>
      <c r="R112" s="61">
        <v>2</v>
      </c>
      <c r="S112" s="61">
        <v>2</v>
      </c>
      <c r="T112" s="61">
        <v>2</v>
      </c>
      <c r="U112" s="61">
        <v>2</v>
      </c>
      <c r="V112" s="61">
        <v>2</v>
      </c>
      <c r="W112" s="61">
        <v>2</v>
      </c>
      <c r="X112" s="61">
        <v>2</v>
      </c>
      <c r="Y112" s="61">
        <v>2</v>
      </c>
      <c r="Z112" s="61">
        <v>2</v>
      </c>
      <c r="AA112" s="61">
        <v>2</v>
      </c>
      <c r="AB112" s="61">
        <v>2</v>
      </c>
      <c r="AC112" s="61">
        <v>2</v>
      </c>
      <c r="AD112" s="61">
        <v>2</v>
      </c>
      <c r="AE112" s="61">
        <v>2</v>
      </c>
      <c r="AF112" s="61">
        <v>2</v>
      </c>
      <c r="AG112" s="61">
        <v>2</v>
      </c>
      <c r="AH112" s="61">
        <v>2</v>
      </c>
      <c r="AI112" s="61">
        <v>2</v>
      </c>
      <c r="AJ112" s="61">
        <v>2</v>
      </c>
      <c r="AK112" s="61">
        <v>2</v>
      </c>
      <c r="AL112" s="61">
        <v>2</v>
      </c>
      <c r="AM112" s="61">
        <v>2</v>
      </c>
      <c r="AN112" s="61">
        <v>2</v>
      </c>
      <c r="AO112" s="61">
        <v>2</v>
      </c>
      <c r="AP112" s="61">
        <v>2</v>
      </c>
      <c r="AQ112" s="61">
        <v>2</v>
      </c>
      <c r="AR112" s="61">
        <v>2</v>
      </c>
      <c r="AS112" s="61">
        <v>2</v>
      </c>
      <c r="AT112" s="91">
        <v>2</v>
      </c>
      <c r="AU112" s="91">
        <v>1</v>
      </c>
      <c r="AV112" s="91">
        <v>1</v>
      </c>
      <c r="AW112" s="91">
        <v>3</v>
      </c>
      <c r="AX112" s="91">
        <v>3</v>
      </c>
      <c r="AY112" s="91">
        <v>3</v>
      </c>
      <c r="AZ112" s="91">
        <v>3</v>
      </c>
      <c r="BA112" s="91">
        <v>3</v>
      </c>
      <c r="BB112" s="91">
        <v>3</v>
      </c>
      <c r="BC112" s="91">
        <v>3</v>
      </c>
      <c r="BD112" s="91">
        <v>3</v>
      </c>
      <c r="BE112" s="91">
        <v>3</v>
      </c>
      <c r="BF112" s="91">
        <v>3</v>
      </c>
      <c r="BG112" s="91">
        <v>3</v>
      </c>
      <c r="BH112" s="91">
        <v>1</v>
      </c>
      <c r="BI112" s="91">
        <v>1</v>
      </c>
      <c r="BJ112" s="91">
        <v>1</v>
      </c>
      <c r="BK112" s="91">
        <v>3</v>
      </c>
      <c r="BL112" s="91">
        <v>3</v>
      </c>
      <c r="BM112" s="91">
        <v>3</v>
      </c>
      <c r="BN112" s="91">
        <v>3</v>
      </c>
      <c r="BO112" s="91">
        <v>3</v>
      </c>
      <c r="BP112" s="91">
        <v>3</v>
      </c>
      <c r="BQ112" s="91">
        <v>3</v>
      </c>
      <c r="BR112" s="91">
        <v>3</v>
      </c>
      <c r="BS112" s="91">
        <v>3</v>
      </c>
      <c r="BT112" s="91">
        <v>3</v>
      </c>
    </row>
    <row r="113" spans="1:72" x14ac:dyDescent="0.2">
      <c r="G113" s="23">
        <v>79</v>
      </c>
      <c r="H113" s="61">
        <v>2</v>
      </c>
      <c r="I113" s="61">
        <v>2</v>
      </c>
      <c r="J113" s="61">
        <v>2</v>
      </c>
      <c r="K113" s="61">
        <v>2</v>
      </c>
      <c r="L113" s="61">
        <v>2</v>
      </c>
      <c r="M113" s="61">
        <v>2</v>
      </c>
      <c r="N113" s="61">
        <v>2</v>
      </c>
      <c r="O113" s="61">
        <v>2</v>
      </c>
      <c r="P113" s="61">
        <v>2</v>
      </c>
      <c r="Q113" s="61">
        <v>2</v>
      </c>
      <c r="R113" s="61">
        <v>2</v>
      </c>
      <c r="S113" s="61">
        <v>2</v>
      </c>
      <c r="T113" s="61">
        <v>2</v>
      </c>
      <c r="U113" s="61">
        <v>2</v>
      </c>
      <c r="V113" s="61">
        <v>2</v>
      </c>
      <c r="W113" s="61">
        <v>2</v>
      </c>
      <c r="X113" s="61">
        <v>2</v>
      </c>
      <c r="Y113" s="61">
        <v>2</v>
      </c>
      <c r="Z113" s="61">
        <v>2</v>
      </c>
      <c r="AA113" s="61">
        <v>2</v>
      </c>
      <c r="AB113" s="61">
        <v>2</v>
      </c>
      <c r="AC113" s="61">
        <v>2</v>
      </c>
      <c r="AD113" s="61">
        <v>2</v>
      </c>
      <c r="AE113" s="61">
        <v>2</v>
      </c>
      <c r="AF113" s="61">
        <v>2</v>
      </c>
      <c r="AG113" s="61">
        <v>2</v>
      </c>
      <c r="AH113" s="61">
        <v>2</v>
      </c>
      <c r="AI113" s="61">
        <v>2</v>
      </c>
      <c r="AJ113" s="61">
        <v>2</v>
      </c>
      <c r="AK113" s="61">
        <v>2</v>
      </c>
      <c r="AL113" s="61">
        <v>2</v>
      </c>
      <c r="AM113" s="61">
        <v>2</v>
      </c>
      <c r="AN113" s="61">
        <v>2</v>
      </c>
      <c r="AO113" s="61">
        <v>2</v>
      </c>
      <c r="AP113" s="61">
        <v>2</v>
      </c>
      <c r="AQ113" s="61">
        <v>2</v>
      </c>
      <c r="AR113" s="61">
        <v>2</v>
      </c>
      <c r="AS113" s="61">
        <v>2</v>
      </c>
      <c r="AT113" s="91">
        <v>2</v>
      </c>
      <c r="AU113" s="91">
        <v>1</v>
      </c>
      <c r="AV113" s="91">
        <v>1</v>
      </c>
      <c r="AW113" s="91">
        <v>3</v>
      </c>
      <c r="AX113" s="91">
        <v>3</v>
      </c>
      <c r="AY113" s="91">
        <v>3</v>
      </c>
      <c r="AZ113" s="91">
        <v>3</v>
      </c>
      <c r="BA113" s="91">
        <v>3</v>
      </c>
      <c r="BB113" s="91">
        <v>3</v>
      </c>
      <c r="BC113" s="91">
        <v>3</v>
      </c>
      <c r="BD113" s="91">
        <v>4</v>
      </c>
      <c r="BE113" s="91">
        <v>3</v>
      </c>
      <c r="BF113" s="91">
        <v>3</v>
      </c>
      <c r="BG113" s="91">
        <v>3</v>
      </c>
      <c r="BH113" s="91">
        <v>1</v>
      </c>
      <c r="BI113" s="91">
        <v>1</v>
      </c>
      <c r="BJ113" s="91">
        <v>1</v>
      </c>
      <c r="BK113" s="91">
        <v>3</v>
      </c>
      <c r="BL113" s="91">
        <v>3</v>
      </c>
      <c r="BM113" s="91">
        <v>3</v>
      </c>
      <c r="BN113" s="91">
        <v>4</v>
      </c>
      <c r="BO113" s="91">
        <v>3</v>
      </c>
      <c r="BP113" s="91">
        <v>3</v>
      </c>
      <c r="BQ113" s="91">
        <v>3</v>
      </c>
      <c r="BR113" s="91">
        <v>3</v>
      </c>
      <c r="BS113" s="91">
        <v>3</v>
      </c>
      <c r="BT113" s="91">
        <v>3</v>
      </c>
    </row>
    <row r="114" spans="1:72" x14ac:dyDescent="0.2">
      <c r="G114" s="23">
        <v>80</v>
      </c>
      <c r="H114" s="61">
        <v>2</v>
      </c>
      <c r="I114" s="61">
        <v>2</v>
      </c>
      <c r="J114" s="61">
        <v>2</v>
      </c>
      <c r="K114" s="61">
        <v>2</v>
      </c>
      <c r="L114" s="61">
        <v>2</v>
      </c>
      <c r="M114" s="61">
        <v>2</v>
      </c>
      <c r="N114" s="61">
        <v>2</v>
      </c>
      <c r="O114" s="61">
        <v>2</v>
      </c>
      <c r="P114" s="61">
        <v>2</v>
      </c>
      <c r="Q114" s="61">
        <v>2</v>
      </c>
      <c r="R114" s="61">
        <v>2</v>
      </c>
      <c r="S114" s="61">
        <v>2</v>
      </c>
      <c r="T114" s="61">
        <v>2</v>
      </c>
      <c r="U114" s="61">
        <v>2</v>
      </c>
      <c r="V114" s="61">
        <v>2</v>
      </c>
      <c r="W114" s="61">
        <v>2</v>
      </c>
      <c r="X114" s="61">
        <v>2</v>
      </c>
      <c r="Y114" s="61">
        <v>2</v>
      </c>
      <c r="Z114" s="61">
        <v>2</v>
      </c>
      <c r="AA114" s="61">
        <v>2</v>
      </c>
      <c r="AB114" s="61">
        <v>2</v>
      </c>
      <c r="AC114" s="61">
        <v>2</v>
      </c>
      <c r="AD114" s="61">
        <v>2</v>
      </c>
      <c r="AE114" s="61">
        <v>2</v>
      </c>
      <c r="AF114" s="61">
        <v>2</v>
      </c>
      <c r="AG114" s="61">
        <v>2</v>
      </c>
      <c r="AH114" s="61">
        <v>2</v>
      </c>
      <c r="AI114" s="61">
        <v>2</v>
      </c>
      <c r="AJ114" s="61">
        <v>2</v>
      </c>
      <c r="AK114" s="61">
        <v>2</v>
      </c>
      <c r="AL114" s="61">
        <v>2</v>
      </c>
      <c r="AM114" s="61">
        <v>2</v>
      </c>
      <c r="AN114" s="61">
        <v>2</v>
      </c>
      <c r="AO114" s="61">
        <v>2</v>
      </c>
      <c r="AP114" s="61">
        <v>2</v>
      </c>
      <c r="AQ114" s="61">
        <v>2</v>
      </c>
      <c r="AR114" s="61">
        <v>2</v>
      </c>
      <c r="AS114" s="61">
        <v>2</v>
      </c>
      <c r="AT114" s="91">
        <v>2</v>
      </c>
      <c r="AU114" s="91">
        <v>1</v>
      </c>
      <c r="AV114" s="91">
        <v>1</v>
      </c>
      <c r="AW114" s="91">
        <v>3</v>
      </c>
      <c r="AX114" s="91">
        <v>3</v>
      </c>
      <c r="AY114" s="91">
        <v>3</v>
      </c>
      <c r="AZ114" s="91">
        <v>3</v>
      </c>
      <c r="BA114" s="91">
        <v>3</v>
      </c>
      <c r="BB114" s="91">
        <v>3</v>
      </c>
      <c r="BC114" s="91">
        <v>3</v>
      </c>
      <c r="BD114" s="91">
        <v>4</v>
      </c>
      <c r="BE114" s="91">
        <v>3</v>
      </c>
      <c r="BF114" s="91">
        <v>3</v>
      </c>
      <c r="BG114" s="91">
        <v>3</v>
      </c>
      <c r="BH114" s="91">
        <v>1</v>
      </c>
      <c r="BI114" s="91">
        <v>1</v>
      </c>
      <c r="BJ114" s="91">
        <v>1</v>
      </c>
      <c r="BK114" s="91">
        <v>3</v>
      </c>
      <c r="BL114" s="91">
        <v>3</v>
      </c>
      <c r="BM114" s="91">
        <v>3</v>
      </c>
      <c r="BN114" s="91">
        <v>4</v>
      </c>
      <c r="BO114" s="91">
        <v>3</v>
      </c>
      <c r="BP114" s="91">
        <v>3</v>
      </c>
      <c r="BQ114" s="91">
        <v>3</v>
      </c>
      <c r="BR114" s="91">
        <v>3</v>
      </c>
      <c r="BS114" s="91">
        <v>3</v>
      </c>
      <c r="BT114" s="91">
        <v>3</v>
      </c>
    </row>
    <row r="115" spans="1:72" x14ac:dyDescent="0.2">
      <c r="G115" s="23">
        <v>81</v>
      </c>
      <c r="H115" s="61">
        <v>3</v>
      </c>
      <c r="I115" s="61">
        <v>3</v>
      </c>
      <c r="J115" s="61">
        <v>3</v>
      </c>
      <c r="K115" s="61">
        <v>3</v>
      </c>
      <c r="L115" s="61">
        <v>3</v>
      </c>
      <c r="M115" s="61">
        <v>3</v>
      </c>
      <c r="N115" s="61">
        <v>3</v>
      </c>
      <c r="O115" s="61">
        <v>3</v>
      </c>
      <c r="P115" s="61">
        <v>3</v>
      </c>
      <c r="Q115" s="61">
        <v>3</v>
      </c>
      <c r="R115" s="61">
        <v>3</v>
      </c>
      <c r="S115" s="61">
        <v>3</v>
      </c>
      <c r="T115" s="61">
        <v>3</v>
      </c>
      <c r="U115" s="61">
        <v>3</v>
      </c>
      <c r="V115" s="61">
        <v>3</v>
      </c>
      <c r="W115" s="61">
        <v>3</v>
      </c>
      <c r="X115" s="61">
        <v>3</v>
      </c>
      <c r="Y115" s="61">
        <v>3</v>
      </c>
      <c r="Z115" s="61">
        <v>3</v>
      </c>
      <c r="AA115" s="61">
        <v>3</v>
      </c>
      <c r="AB115" s="61">
        <v>3</v>
      </c>
      <c r="AC115" s="61">
        <v>3</v>
      </c>
      <c r="AD115" s="61">
        <v>3</v>
      </c>
      <c r="AE115" s="61">
        <v>3</v>
      </c>
      <c r="AF115" s="61">
        <v>3</v>
      </c>
      <c r="AG115" s="61">
        <v>3</v>
      </c>
      <c r="AH115" s="61">
        <v>3</v>
      </c>
      <c r="AI115" s="61">
        <v>3</v>
      </c>
      <c r="AJ115" s="61">
        <v>3</v>
      </c>
      <c r="AK115" s="61">
        <v>3</v>
      </c>
      <c r="AL115" s="61">
        <v>3</v>
      </c>
      <c r="AM115" s="61">
        <v>3</v>
      </c>
      <c r="AN115" s="61">
        <v>3</v>
      </c>
      <c r="AO115" s="61">
        <v>3</v>
      </c>
      <c r="AP115" s="61">
        <v>3</v>
      </c>
      <c r="AQ115" s="61">
        <v>3</v>
      </c>
      <c r="AR115" s="61">
        <v>3</v>
      </c>
      <c r="AS115" s="61">
        <v>3</v>
      </c>
      <c r="AT115" s="91">
        <v>2</v>
      </c>
      <c r="AU115" s="91">
        <v>1</v>
      </c>
      <c r="AV115" s="91">
        <v>1</v>
      </c>
      <c r="AW115" s="91">
        <v>3</v>
      </c>
      <c r="AX115" s="91">
        <v>3</v>
      </c>
      <c r="AY115" s="91">
        <v>3</v>
      </c>
      <c r="AZ115" s="91">
        <v>3</v>
      </c>
      <c r="BA115" s="91">
        <v>3</v>
      </c>
      <c r="BB115" s="91">
        <v>3</v>
      </c>
      <c r="BC115" s="91">
        <v>3</v>
      </c>
      <c r="BD115" s="91">
        <v>4</v>
      </c>
      <c r="BE115" s="91">
        <v>3</v>
      </c>
      <c r="BF115" s="91">
        <v>3</v>
      </c>
      <c r="BG115" s="91">
        <v>3</v>
      </c>
      <c r="BH115" s="91">
        <v>1</v>
      </c>
      <c r="BI115" s="91">
        <v>1</v>
      </c>
      <c r="BJ115" s="91">
        <v>1</v>
      </c>
      <c r="BK115" s="91">
        <v>3</v>
      </c>
      <c r="BL115" s="91">
        <v>3</v>
      </c>
      <c r="BM115" s="91">
        <v>3</v>
      </c>
      <c r="BN115" s="91">
        <v>4</v>
      </c>
      <c r="BO115" s="91">
        <v>3</v>
      </c>
      <c r="BP115" s="91">
        <v>3</v>
      </c>
      <c r="BQ115" s="91">
        <v>3</v>
      </c>
      <c r="BR115" s="91">
        <v>3</v>
      </c>
      <c r="BS115" s="91">
        <v>3</v>
      </c>
      <c r="BT115" s="91">
        <v>3</v>
      </c>
    </row>
    <row r="116" spans="1:72" x14ac:dyDescent="0.2">
      <c r="G116" s="23">
        <v>82</v>
      </c>
      <c r="H116" s="61">
        <v>3</v>
      </c>
      <c r="I116" s="61">
        <v>3</v>
      </c>
      <c r="J116" s="61">
        <v>3</v>
      </c>
      <c r="K116" s="61">
        <v>3</v>
      </c>
      <c r="L116" s="61">
        <v>3</v>
      </c>
      <c r="M116" s="61">
        <v>3</v>
      </c>
      <c r="N116" s="61">
        <v>3</v>
      </c>
      <c r="O116" s="61">
        <v>3</v>
      </c>
      <c r="P116" s="61">
        <v>3</v>
      </c>
      <c r="Q116" s="61">
        <v>3</v>
      </c>
      <c r="R116" s="61">
        <v>3</v>
      </c>
      <c r="S116" s="61">
        <v>3</v>
      </c>
      <c r="T116" s="61">
        <v>3</v>
      </c>
      <c r="U116" s="61">
        <v>3</v>
      </c>
      <c r="V116" s="61">
        <v>3</v>
      </c>
      <c r="W116" s="61">
        <v>3</v>
      </c>
      <c r="X116" s="61">
        <v>3</v>
      </c>
      <c r="Y116" s="61">
        <v>3</v>
      </c>
      <c r="Z116" s="61">
        <v>3</v>
      </c>
      <c r="AA116" s="61">
        <v>3</v>
      </c>
      <c r="AB116" s="61">
        <v>3</v>
      </c>
      <c r="AC116" s="61">
        <v>3</v>
      </c>
      <c r="AD116" s="61">
        <v>3</v>
      </c>
      <c r="AE116" s="61">
        <v>3</v>
      </c>
      <c r="AF116" s="61">
        <v>3</v>
      </c>
      <c r="AG116" s="61">
        <v>3</v>
      </c>
      <c r="AH116" s="61">
        <v>3</v>
      </c>
      <c r="AI116" s="61">
        <v>3</v>
      </c>
      <c r="AJ116" s="61">
        <v>3</v>
      </c>
      <c r="AK116" s="61">
        <v>3</v>
      </c>
      <c r="AL116" s="61">
        <v>3</v>
      </c>
      <c r="AM116" s="61">
        <v>3</v>
      </c>
      <c r="AN116" s="61">
        <v>3</v>
      </c>
      <c r="AO116" s="61">
        <v>3</v>
      </c>
      <c r="AP116" s="61">
        <v>3</v>
      </c>
      <c r="AQ116" s="61">
        <v>3</v>
      </c>
      <c r="AR116" s="61">
        <v>3</v>
      </c>
      <c r="AS116" s="61">
        <v>3</v>
      </c>
      <c r="AT116" s="91">
        <v>3</v>
      </c>
      <c r="AU116" s="91">
        <v>1</v>
      </c>
      <c r="AV116" s="91">
        <v>1</v>
      </c>
      <c r="AW116" s="91">
        <v>3</v>
      </c>
      <c r="AX116" s="91">
        <v>3</v>
      </c>
      <c r="AY116" s="91">
        <v>3</v>
      </c>
      <c r="AZ116" s="91">
        <v>3</v>
      </c>
      <c r="BA116" s="91">
        <v>3</v>
      </c>
      <c r="BB116" s="91">
        <v>3</v>
      </c>
      <c r="BC116" s="91">
        <v>3</v>
      </c>
      <c r="BD116" s="91">
        <v>4</v>
      </c>
      <c r="BE116" s="91">
        <v>3</v>
      </c>
      <c r="BF116" s="91">
        <v>3</v>
      </c>
      <c r="BG116" s="91">
        <v>3</v>
      </c>
      <c r="BH116" s="91">
        <v>1</v>
      </c>
      <c r="BI116" s="91">
        <v>1</v>
      </c>
      <c r="BJ116" s="91">
        <v>1</v>
      </c>
      <c r="BK116" s="91">
        <v>3</v>
      </c>
      <c r="BL116" s="91">
        <v>3</v>
      </c>
      <c r="BM116" s="91">
        <v>3</v>
      </c>
      <c r="BN116" s="91">
        <v>4</v>
      </c>
      <c r="BO116" s="91">
        <v>3</v>
      </c>
      <c r="BP116" s="91">
        <v>3</v>
      </c>
      <c r="BQ116" s="91">
        <v>3</v>
      </c>
      <c r="BR116" s="91">
        <v>3</v>
      </c>
      <c r="BS116" s="91">
        <v>3</v>
      </c>
      <c r="BT116" s="91">
        <v>3</v>
      </c>
    </row>
    <row r="117" spans="1:72" x14ac:dyDescent="0.2">
      <c r="G117" s="23">
        <v>83</v>
      </c>
      <c r="H117" s="61">
        <v>3</v>
      </c>
      <c r="I117" s="61">
        <v>3</v>
      </c>
      <c r="J117" s="61">
        <v>3</v>
      </c>
      <c r="K117" s="61">
        <v>3</v>
      </c>
      <c r="L117" s="61">
        <v>3</v>
      </c>
      <c r="M117" s="61">
        <v>3</v>
      </c>
      <c r="N117" s="61">
        <v>3</v>
      </c>
      <c r="O117" s="61">
        <v>3</v>
      </c>
      <c r="P117" s="61">
        <v>3</v>
      </c>
      <c r="Q117" s="61">
        <v>3</v>
      </c>
      <c r="R117" s="61">
        <v>3</v>
      </c>
      <c r="S117" s="61">
        <v>3</v>
      </c>
      <c r="T117" s="61">
        <v>3</v>
      </c>
      <c r="U117" s="61">
        <v>3</v>
      </c>
      <c r="V117" s="61">
        <v>3</v>
      </c>
      <c r="W117" s="61">
        <v>3</v>
      </c>
      <c r="X117" s="61">
        <v>3</v>
      </c>
      <c r="Y117" s="61">
        <v>3</v>
      </c>
      <c r="Z117" s="61">
        <v>3</v>
      </c>
      <c r="AA117" s="61">
        <v>3</v>
      </c>
      <c r="AB117" s="61">
        <v>3</v>
      </c>
      <c r="AC117" s="61">
        <v>3</v>
      </c>
      <c r="AD117" s="61">
        <v>3</v>
      </c>
      <c r="AE117" s="61">
        <v>3</v>
      </c>
      <c r="AF117" s="61">
        <v>3</v>
      </c>
      <c r="AG117" s="61">
        <v>3</v>
      </c>
      <c r="AH117" s="61">
        <v>3</v>
      </c>
      <c r="AI117" s="61">
        <v>3</v>
      </c>
      <c r="AJ117" s="61">
        <v>3</v>
      </c>
      <c r="AK117" s="61">
        <v>3</v>
      </c>
      <c r="AL117" s="61">
        <v>3</v>
      </c>
      <c r="AM117" s="61">
        <v>3</v>
      </c>
      <c r="AN117" s="61">
        <v>3</v>
      </c>
      <c r="AO117" s="61">
        <v>3</v>
      </c>
      <c r="AP117" s="61">
        <v>3</v>
      </c>
      <c r="AQ117" s="61">
        <v>3</v>
      </c>
      <c r="AR117" s="61">
        <v>3</v>
      </c>
      <c r="AS117" s="61">
        <v>3</v>
      </c>
      <c r="AT117" s="91">
        <v>3</v>
      </c>
      <c r="AU117" s="91">
        <v>1</v>
      </c>
      <c r="AV117" s="91">
        <v>1</v>
      </c>
      <c r="AW117" s="91">
        <v>3</v>
      </c>
      <c r="AX117" s="91">
        <v>3</v>
      </c>
      <c r="AY117" s="91">
        <v>3</v>
      </c>
      <c r="AZ117" s="91">
        <v>3</v>
      </c>
      <c r="BA117" s="91">
        <v>3</v>
      </c>
      <c r="BB117" s="91">
        <v>3</v>
      </c>
      <c r="BC117" s="91">
        <v>3</v>
      </c>
      <c r="BD117" s="91">
        <v>4</v>
      </c>
      <c r="BE117" s="91">
        <v>3</v>
      </c>
      <c r="BF117" s="91">
        <v>3</v>
      </c>
      <c r="BG117" s="91">
        <v>3</v>
      </c>
      <c r="BH117" s="91">
        <v>1</v>
      </c>
      <c r="BI117" s="91">
        <v>1</v>
      </c>
      <c r="BJ117" s="91">
        <v>1</v>
      </c>
      <c r="BK117" s="91">
        <v>3</v>
      </c>
      <c r="BL117" s="91">
        <v>3</v>
      </c>
      <c r="BM117" s="91">
        <v>3</v>
      </c>
      <c r="BN117" s="91">
        <v>4</v>
      </c>
      <c r="BO117" s="91">
        <v>3</v>
      </c>
      <c r="BP117" s="91">
        <v>3</v>
      </c>
      <c r="BQ117" s="91">
        <v>3</v>
      </c>
      <c r="BR117" s="91">
        <v>3</v>
      </c>
      <c r="BS117" s="91">
        <v>3</v>
      </c>
      <c r="BT117" s="91">
        <v>3</v>
      </c>
    </row>
    <row r="118" spans="1:72" x14ac:dyDescent="0.2">
      <c r="G118" s="23">
        <v>84</v>
      </c>
      <c r="H118" s="61">
        <v>3</v>
      </c>
      <c r="I118" s="61">
        <v>3</v>
      </c>
      <c r="J118" s="61">
        <v>3</v>
      </c>
      <c r="K118" s="61">
        <v>3</v>
      </c>
      <c r="L118" s="61">
        <v>3</v>
      </c>
      <c r="M118" s="61">
        <v>3</v>
      </c>
      <c r="N118" s="61">
        <v>3</v>
      </c>
      <c r="O118" s="61">
        <v>3</v>
      </c>
      <c r="P118" s="61">
        <v>3</v>
      </c>
      <c r="Q118" s="61">
        <v>3</v>
      </c>
      <c r="R118" s="61">
        <v>3</v>
      </c>
      <c r="S118" s="61">
        <v>3</v>
      </c>
      <c r="T118" s="61">
        <v>3</v>
      </c>
      <c r="U118" s="61">
        <v>3</v>
      </c>
      <c r="V118" s="61">
        <v>3</v>
      </c>
      <c r="W118" s="61">
        <v>3</v>
      </c>
      <c r="X118" s="61">
        <v>3</v>
      </c>
      <c r="Y118" s="61">
        <v>3</v>
      </c>
      <c r="Z118" s="61">
        <v>3</v>
      </c>
      <c r="AA118" s="61">
        <v>3</v>
      </c>
      <c r="AB118" s="61">
        <v>3</v>
      </c>
      <c r="AC118" s="61">
        <v>3</v>
      </c>
      <c r="AD118" s="61">
        <v>3</v>
      </c>
      <c r="AE118" s="61">
        <v>3</v>
      </c>
      <c r="AF118" s="61">
        <v>3</v>
      </c>
      <c r="AG118" s="61">
        <v>3</v>
      </c>
      <c r="AH118" s="61">
        <v>3</v>
      </c>
      <c r="AI118" s="61">
        <v>3</v>
      </c>
      <c r="AJ118" s="61">
        <v>3</v>
      </c>
      <c r="AK118" s="61">
        <v>3</v>
      </c>
      <c r="AL118" s="61">
        <v>3</v>
      </c>
      <c r="AM118" s="61">
        <v>3</v>
      </c>
      <c r="AN118" s="61">
        <v>3</v>
      </c>
      <c r="AO118" s="61">
        <v>3</v>
      </c>
      <c r="AP118" s="61">
        <v>3</v>
      </c>
      <c r="AQ118" s="61">
        <v>3</v>
      </c>
      <c r="AR118" s="61">
        <v>3</v>
      </c>
      <c r="AS118" s="61">
        <v>3</v>
      </c>
      <c r="AT118" s="91">
        <v>3</v>
      </c>
      <c r="AU118" s="91">
        <v>1</v>
      </c>
      <c r="AV118" s="91">
        <v>1</v>
      </c>
      <c r="AW118" s="91">
        <v>4</v>
      </c>
      <c r="AX118" s="91">
        <v>3</v>
      </c>
      <c r="AY118" s="91">
        <v>3</v>
      </c>
      <c r="AZ118" s="91">
        <v>3</v>
      </c>
      <c r="BA118" s="91">
        <v>3</v>
      </c>
      <c r="BB118" s="91">
        <v>3</v>
      </c>
      <c r="BC118" s="91">
        <v>3</v>
      </c>
      <c r="BD118" s="91">
        <v>4</v>
      </c>
      <c r="BE118" s="91">
        <v>3</v>
      </c>
      <c r="BF118" s="91">
        <v>3</v>
      </c>
      <c r="BG118" s="91">
        <v>3</v>
      </c>
      <c r="BH118" s="91">
        <v>1</v>
      </c>
      <c r="BI118" s="91">
        <v>1</v>
      </c>
      <c r="BJ118" s="91">
        <v>1</v>
      </c>
      <c r="BK118" s="91">
        <v>4</v>
      </c>
      <c r="BL118" s="91">
        <v>4</v>
      </c>
      <c r="BM118" s="91">
        <v>3</v>
      </c>
      <c r="BN118" s="91">
        <v>4</v>
      </c>
      <c r="BO118" s="91">
        <v>3</v>
      </c>
      <c r="BP118" s="91">
        <v>3</v>
      </c>
      <c r="BQ118" s="91">
        <v>3</v>
      </c>
      <c r="BR118" s="91">
        <v>3</v>
      </c>
      <c r="BS118" s="91">
        <v>3</v>
      </c>
      <c r="BT118" s="91">
        <v>3</v>
      </c>
    </row>
    <row r="119" spans="1:72" x14ac:dyDescent="0.2">
      <c r="G119" s="23">
        <v>85</v>
      </c>
      <c r="H119" s="61">
        <v>4</v>
      </c>
      <c r="I119" s="61">
        <v>4</v>
      </c>
      <c r="J119" s="61">
        <v>4</v>
      </c>
      <c r="K119" s="61">
        <v>4</v>
      </c>
      <c r="L119" s="61">
        <v>4</v>
      </c>
      <c r="M119" s="61">
        <v>4</v>
      </c>
      <c r="N119" s="61">
        <v>4</v>
      </c>
      <c r="O119" s="61">
        <v>4</v>
      </c>
      <c r="P119" s="61">
        <v>4</v>
      </c>
      <c r="Q119" s="61">
        <v>4</v>
      </c>
      <c r="R119" s="61">
        <v>4</v>
      </c>
      <c r="S119" s="61">
        <v>4</v>
      </c>
      <c r="T119" s="61">
        <v>4</v>
      </c>
      <c r="U119" s="61">
        <v>4</v>
      </c>
      <c r="V119" s="61">
        <v>4</v>
      </c>
      <c r="W119" s="61">
        <v>4</v>
      </c>
      <c r="X119" s="61">
        <v>4</v>
      </c>
      <c r="Y119" s="61">
        <v>4</v>
      </c>
      <c r="Z119" s="61">
        <v>4</v>
      </c>
      <c r="AA119" s="61">
        <v>4</v>
      </c>
      <c r="AB119" s="61">
        <v>4</v>
      </c>
      <c r="AC119" s="61">
        <v>4</v>
      </c>
      <c r="AD119" s="61">
        <v>4</v>
      </c>
      <c r="AE119" s="61">
        <v>4</v>
      </c>
      <c r="AF119" s="61">
        <v>4</v>
      </c>
      <c r="AG119" s="61">
        <v>4</v>
      </c>
      <c r="AH119" s="61">
        <v>4</v>
      </c>
      <c r="AI119" s="61">
        <v>4</v>
      </c>
      <c r="AJ119" s="61">
        <v>4</v>
      </c>
      <c r="AK119" s="61">
        <v>4</v>
      </c>
      <c r="AL119" s="61">
        <v>4</v>
      </c>
      <c r="AM119" s="61">
        <v>4</v>
      </c>
      <c r="AN119" s="61">
        <v>4</v>
      </c>
      <c r="AO119" s="61">
        <v>4</v>
      </c>
      <c r="AP119" s="61">
        <v>4</v>
      </c>
      <c r="AQ119" s="61">
        <v>4</v>
      </c>
      <c r="AR119" s="61">
        <v>4</v>
      </c>
      <c r="AS119" s="61">
        <v>4</v>
      </c>
      <c r="AT119" s="91">
        <v>3</v>
      </c>
      <c r="AU119" s="91">
        <v>1</v>
      </c>
      <c r="AV119" s="91">
        <v>1</v>
      </c>
      <c r="AW119" s="91">
        <v>4</v>
      </c>
      <c r="AX119" s="91">
        <v>4</v>
      </c>
      <c r="AY119" s="91">
        <v>4</v>
      </c>
      <c r="AZ119" s="91">
        <v>4</v>
      </c>
      <c r="BA119" s="91">
        <v>4</v>
      </c>
      <c r="BB119" s="91">
        <v>4</v>
      </c>
      <c r="BC119" s="91">
        <v>4</v>
      </c>
      <c r="BD119" s="91">
        <v>4</v>
      </c>
      <c r="BE119" s="91">
        <v>4</v>
      </c>
      <c r="BF119" s="91">
        <v>4</v>
      </c>
      <c r="BG119" s="91">
        <v>4</v>
      </c>
      <c r="BH119" s="91">
        <v>1</v>
      </c>
      <c r="BI119" s="91">
        <v>1</v>
      </c>
      <c r="BJ119" s="91">
        <v>1</v>
      </c>
      <c r="BK119" s="91">
        <v>4</v>
      </c>
      <c r="BL119" s="91">
        <v>4</v>
      </c>
      <c r="BM119" s="91">
        <v>4</v>
      </c>
      <c r="BN119" s="91">
        <v>4</v>
      </c>
      <c r="BO119" s="91">
        <v>4</v>
      </c>
      <c r="BP119" s="91">
        <v>4</v>
      </c>
      <c r="BQ119" s="91">
        <v>4</v>
      </c>
      <c r="BR119" s="91">
        <v>4</v>
      </c>
      <c r="BS119" s="91">
        <v>4</v>
      </c>
      <c r="BT119" s="91">
        <v>4</v>
      </c>
    </row>
    <row r="120" spans="1:72" x14ac:dyDescent="0.2">
      <c r="G120" s="23">
        <v>86</v>
      </c>
      <c r="H120" s="61">
        <v>4</v>
      </c>
      <c r="I120" s="61">
        <v>4</v>
      </c>
      <c r="J120" s="61">
        <v>4</v>
      </c>
      <c r="K120" s="61">
        <v>4</v>
      </c>
      <c r="L120" s="61">
        <v>4</v>
      </c>
      <c r="M120" s="61">
        <v>4</v>
      </c>
      <c r="N120" s="61">
        <v>4</v>
      </c>
      <c r="O120" s="61">
        <v>4</v>
      </c>
      <c r="P120" s="61">
        <v>4</v>
      </c>
      <c r="Q120" s="61">
        <v>4</v>
      </c>
      <c r="R120" s="61">
        <v>4</v>
      </c>
      <c r="S120" s="61">
        <v>4</v>
      </c>
      <c r="T120" s="61">
        <v>4</v>
      </c>
      <c r="U120" s="61">
        <v>4</v>
      </c>
      <c r="V120" s="61">
        <v>4</v>
      </c>
      <c r="W120" s="61">
        <v>4</v>
      </c>
      <c r="X120" s="61">
        <v>4</v>
      </c>
      <c r="Y120" s="61">
        <v>4</v>
      </c>
      <c r="Z120" s="61">
        <v>4</v>
      </c>
      <c r="AA120" s="61">
        <v>4</v>
      </c>
      <c r="AB120" s="61">
        <v>4</v>
      </c>
      <c r="AC120" s="61">
        <v>4</v>
      </c>
      <c r="AD120" s="61">
        <v>4</v>
      </c>
      <c r="AE120" s="61">
        <v>4</v>
      </c>
      <c r="AF120" s="61">
        <v>4</v>
      </c>
      <c r="AG120" s="61">
        <v>4</v>
      </c>
      <c r="AH120" s="61">
        <v>4</v>
      </c>
      <c r="AI120" s="61">
        <v>4</v>
      </c>
      <c r="AJ120" s="61">
        <v>4</v>
      </c>
      <c r="AK120" s="61">
        <v>4</v>
      </c>
      <c r="AL120" s="61">
        <v>4</v>
      </c>
      <c r="AM120" s="61">
        <v>4</v>
      </c>
      <c r="AN120" s="61">
        <v>4</v>
      </c>
      <c r="AO120" s="61">
        <v>4</v>
      </c>
      <c r="AP120" s="61">
        <v>4</v>
      </c>
      <c r="AQ120" s="61">
        <v>4</v>
      </c>
      <c r="AR120" s="61">
        <v>4</v>
      </c>
      <c r="AS120" s="61">
        <v>4</v>
      </c>
      <c r="AT120" s="91">
        <v>3</v>
      </c>
      <c r="AU120" s="91">
        <v>2</v>
      </c>
      <c r="AV120" s="91">
        <v>2</v>
      </c>
      <c r="AW120" s="91">
        <v>4</v>
      </c>
      <c r="AX120" s="91">
        <v>4</v>
      </c>
      <c r="AY120" s="91">
        <v>4</v>
      </c>
      <c r="AZ120" s="91">
        <v>4</v>
      </c>
      <c r="BA120" s="91">
        <v>4</v>
      </c>
      <c r="BB120" s="91">
        <v>4</v>
      </c>
      <c r="BC120" s="91">
        <v>4</v>
      </c>
      <c r="BD120" s="91">
        <v>5</v>
      </c>
      <c r="BE120" s="91">
        <v>4</v>
      </c>
      <c r="BF120" s="91">
        <v>4</v>
      </c>
      <c r="BG120" s="91">
        <v>4</v>
      </c>
      <c r="BH120" s="91">
        <v>2</v>
      </c>
      <c r="BI120" s="91">
        <v>2</v>
      </c>
      <c r="BJ120" s="91">
        <v>2</v>
      </c>
      <c r="BK120" s="91">
        <v>4</v>
      </c>
      <c r="BL120" s="91">
        <v>4</v>
      </c>
      <c r="BM120" s="91">
        <v>4</v>
      </c>
      <c r="BN120" s="91">
        <v>5</v>
      </c>
      <c r="BO120" s="91">
        <v>4</v>
      </c>
      <c r="BP120" s="91">
        <v>4</v>
      </c>
      <c r="BQ120" s="91">
        <v>4</v>
      </c>
      <c r="BR120" s="91">
        <v>4</v>
      </c>
      <c r="BS120" s="91">
        <v>4</v>
      </c>
      <c r="BT120" s="91">
        <v>4</v>
      </c>
    </row>
    <row r="121" spans="1:72" x14ac:dyDescent="0.2">
      <c r="G121" s="23">
        <v>87</v>
      </c>
      <c r="H121" s="61">
        <v>4</v>
      </c>
      <c r="I121" s="61">
        <v>4</v>
      </c>
      <c r="J121" s="61">
        <v>4</v>
      </c>
      <c r="K121" s="61">
        <v>4</v>
      </c>
      <c r="L121" s="61">
        <v>4</v>
      </c>
      <c r="M121" s="61">
        <v>4</v>
      </c>
      <c r="N121" s="61">
        <v>4</v>
      </c>
      <c r="O121" s="61">
        <v>4</v>
      </c>
      <c r="P121" s="61">
        <v>4</v>
      </c>
      <c r="Q121" s="61">
        <v>4</v>
      </c>
      <c r="R121" s="61">
        <v>4</v>
      </c>
      <c r="S121" s="61">
        <v>4</v>
      </c>
      <c r="T121" s="61">
        <v>4</v>
      </c>
      <c r="U121" s="61">
        <v>4</v>
      </c>
      <c r="V121" s="61">
        <v>4</v>
      </c>
      <c r="W121" s="61">
        <v>4</v>
      </c>
      <c r="X121" s="61">
        <v>4</v>
      </c>
      <c r="Y121" s="61">
        <v>4</v>
      </c>
      <c r="Z121" s="61">
        <v>4</v>
      </c>
      <c r="AA121" s="61">
        <v>4</v>
      </c>
      <c r="AB121" s="61">
        <v>4</v>
      </c>
      <c r="AC121" s="61">
        <v>4</v>
      </c>
      <c r="AD121" s="61">
        <v>4</v>
      </c>
      <c r="AE121" s="61">
        <v>4</v>
      </c>
      <c r="AF121" s="61">
        <v>4</v>
      </c>
      <c r="AG121" s="61">
        <v>4</v>
      </c>
      <c r="AH121" s="61">
        <v>4</v>
      </c>
      <c r="AI121" s="61">
        <v>4</v>
      </c>
      <c r="AJ121" s="61">
        <v>4</v>
      </c>
      <c r="AK121" s="61">
        <v>4</v>
      </c>
      <c r="AL121" s="61">
        <v>4</v>
      </c>
      <c r="AM121" s="61">
        <v>4</v>
      </c>
      <c r="AN121" s="61">
        <v>4</v>
      </c>
      <c r="AO121" s="61">
        <v>4</v>
      </c>
      <c r="AP121" s="61">
        <v>4</v>
      </c>
      <c r="AQ121" s="61">
        <v>4</v>
      </c>
      <c r="AR121" s="61">
        <v>4</v>
      </c>
      <c r="AS121" s="61">
        <v>4</v>
      </c>
      <c r="AT121" s="91">
        <v>3</v>
      </c>
      <c r="AU121" s="91">
        <v>2</v>
      </c>
      <c r="AV121" s="91">
        <v>2</v>
      </c>
      <c r="AW121" s="91">
        <v>4</v>
      </c>
      <c r="AX121" s="91">
        <v>4</v>
      </c>
      <c r="AY121" s="91">
        <v>4</v>
      </c>
      <c r="AZ121" s="91">
        <v>4</v>
      </c>
      <c r="BA121" s="91">
        <v>4</v>
      </c>
      <c r="BB121" s="91">
        <v>4</v>
      </c>
      <c r="BC121" s="91">
        <v>4</v>
      </c>
      <c r="BD121" s="91">
        <v>5</v>
      </c>
      <c r="BE121" s="91">
        <v>4</v>
      </c>
      <c r="BF121" s="91">
        <v>4</v>
      </c>
      <c r="BG121" s="91">
        <v>4</v>
      </c>
      <c r="BH121" s="91">
        <v>2</v>
      </c>
      <c r="BI121" s="91">
        <v>2</v>
      </c>
      <c r="BJ121" s="91">
        <v>2</v>
      </c>
      <c r="BK121" s="91">
        <v>4</v>
      </c>
      <c r="BL121" s="91">
        <v>4</v>
      </c>
      <c r="BM121" s="91">
        <v>4</v>
      </c>
      <c r="BN121" s="91">
        <v>5</v>
      </c>
      <c r="BO121" s="91">
        <v>4</v>
      </c>
      <c r="BP121" s="91">
        <v>4</v>
      </c>
      <c r="BQ121" s="91">
        <v>4</v>
      </c>
      <c r="BR121" s="91">
        <v>4</v>
      </c>
      <c r="BS121" s="91">
        <v>4</v>
      </c>
      <c r="BT121" s="91">
        <v>4</v>
      </c>
    </row>
    <row r="122" spans="1:72" x14ac:dyDescent="0.2">
      <c r="G122" s="23">
        <v>88</v>
      </c>
      <c r="H122" s="61">
        <v>4</v>
      </c>
      <c r="I122" s="61">
        <v>4</v>
      </c>
      <c r="J122" s="61">
        <v>4</v>
      </c>
      <c r="K122" s="61">
        <v>4</v>
      </c>
      <c r="L122" s="61">
        <v>4</v>
      </c>
      <c r="M122" s="61">
        <v>4</v>
      </c>
      <c r="N122" s="61">
        <v>4</v>
      </c>
      <c r="O122" s="61">
        <v>4</v>
      </c>
      <c r="P122" s="61">
        <v>4</v>
      </c>
      <c r="Q122" s="61">
        <v>4</v>
      </c>
      <c r="R122" s="61">
        <v>4</v>
      </c>
      <c r="S122" s="61">
        <v>4</v>
      </c>
      <c r="T122" s="61">
        <v>4</v>
      </c>
      <c r="U122" s="61">
        <v>4</v>
      </c>
      <c r="V122" s="61">
        <v>4</v>
      </c>
      <c r="W122" s="61">
        <v>4</v>
      </c>
      <c r="X122" s="61">
        <v>4</v>
      </c>
      <c r="Y122" s="61">
        <v>4</v>
      </c>
      <c r="Z122" s="61">
        <v>4</v>
      </c>
      <c r="AA122" s="61">
        <v>4</v>
      </c>
      <c r="AB122" s="61">
        <v>4</v>
      </c>
      <c r="AC122" s="61">
        <v>4</v>
      </c>
      <c r="AD122" s="61">
        <v>4</v>
      </c>
      <c r="AE122" s="61">
        <v>4</v>
      </c>
      <c r="AF122" s="61">
        <v>4</v>
      </c>
      <c r="AG122" s="61">
        <v>4</v>
      </c>
      <c r="AH122" s="61">
        <v>4</v>
      </c>
      <c r="AI122" s="61">
        <v>4</v>
      </c>
      <c r="AJ122" s="61">
        <v>4</v>
      </c>
      <c r="AK122" s="61">
        <v>4</v>
      </c>
      <c r="AL122" s="61">
        <v>4</v>
      </c>
      <c r="AM122" s="61">
        <v>4</v>
      </c>
      <c r="AN122" s="61">
        <v>4</v>
      </c>
      <c r="AO122" s="61">
        <v>4</v>
      </c>
      <c r="AP122" s="61">
        <v>4</v>
      </c>
      <c r="AQ122" s="61">
        <v>4</v>
      </c>
      <c r="AR122" s="61">
        <v>4</v>
      </c>
      <c r="AS122" s="61">
        <v>4</v>
      </c>
      <c r="AT122" s="91">
        <v>3</v>
      </c>
      <c r="AU122" s="91">
        <v>2</v>
      </c>
      <c r="AV122" s="91">
        <v>2</v>
      </c>
      <c r="AW122" s="91">
        <v>4</v>
      </c>
      <c r="AX122" s="91">
        <v>4</v>
      </c>
      <c r="AY122" s="91">
        <v>4</v>
      </c>
      <c r="AZ122" s="91">
        <v>4</v>
      </c>
      <c r="BA122" s="91">
        <v>4</v>
      </c>
      <c r="BB122" s="91">
        <v>4</v>
      </c>
      <c r="BC122" s="91">
        <v>4</v>
      </c>
      <c r="BD122" s="91">
        <v>5</v>
      </c>
      <c r="BE122" s="91">
        <v>4</v>
      </c>
      <c r="BF122" s="91">
        <v>4</v>
      </c>
      <c r="BG122" s="91">
        <v>4</v>
      </c>
      <c r="BH122" s="91">
        <v>2</v>
      </c>
      <c r="BI122" s="91">
        <v>2</v>
      </c>
      <c r="BJ122" s="91">
        <v>2</v>
      </c>
      <c r="BK122" s="91">
        <v>4</v>
      </c>
      <c r="BL122" s="91">
        <v>4</v>
      </c>
      <c r="BM122" s="91">
        <v>4</v>
      </c>
      <c r="BN122" s="91">
        <v>5</v>
      </c>
      <c r="BO122" s="91">
        <v>4</v>
      </c>
      <c r="BP122" s="91">
        <v>4</v>
      </c>
      <c r="BQ122" s="91">
        <v>4</v>
      </c>
      <c r="BR122" s="91">
        <v>4</v>
      </c>
      <c r="BS122" s="91">
        <v>4</v>
      </c>
      <c r="BT122" s="91">
        <v>4</v>
      </c>
    </row>
    <row r="123" spans="1:72" x14ac:dyDescent="0.2">
      <c r="A123" s="12" t="s">
        <v>356</v>
      </c>
      <c r="B123" s="42" t="s">
        <v>4276</v>
      </c>
      <c r="C123" s="12" t="s">
        <v>4269</v>
      </c>
      <c r="D123" s="42"/>
      <c r="E123" s="42" t="s">
        <v>4287</v>
      </c>
      <c r="F123" s="12" t="s">
        <v>4288</v>
      </c>
      <c r="G123" s="23">
        <v>89</v>
      </c>
      <c r="H123" s="61">
        <v>5</v>
      </c>
      <c r="I123" s="61">
        <v>5</v>
      </c>
      <c r="J123" s="61">
        <v>5</v>
      </c>
      <c r="K123" s="61">
        <v>5</v>
      </c>
      <c r="L123" s="61">
        <v>5</v>
      </c>
      <c r="M123" s="61">
        <v>5</v>
      </c>
      <c r="N123" s="61">
        <v>5</v>
      </c>
      <c r="O123" s="61">
        <v>5</v>
      </c>
      <c r="P123" s="61">
        <v>5</v>
      </c>
      <c r="Q123" s="61">
        <v>5</v>
      </c>
      <c r="R123" s="61">
        <v>5</v>
      </c>
      <c r="S123" s="61">
        <v>5</v>
      </c>
      <c r="T123" s="61">
        <v>5</v>
      </c>
      <c r="U123" s="61">
        <v>5</v>
      </c>
      <c r="V123" s="61">
        <v>5</v>
      </c>
      <c r="W123" s="61">
        <v>5</v>
      </c>
      <c r="X123" s="61">
        <v>5</v>
      </c>
      <c r="Y123" s="61">
        <v>5</v>
      </c>
      <c r="Z123" s="61">
        <v>5</v>
      </c>
      <c r="AA123" s="61">
        <v>5</v>
      </c>
      <c r="AB123" s="61">
        <v>5</v>
      </c>
      <c r="AC123" s="61">
        <v>5</v>
      </c>
      <c r="AD123" s="61">
        <v>5</v>
      </c>
      <c r="AE123" s="61">
        <v>5</v>
      </c>
      <c r="AF123" s="61">
        <v>5</v>
      </c>
      <c r="AG123" s="61">
        <v>5</v>
      </c>
      <c r="AH123" s="61">
        <v>5</v>
      </c>
      <c r="AI123" s="61">
        <v>5</v>
      </c>
      <c r="AJ123" s="61">
        <v>5</v>
      </c>
      <c r="AK123" s="61">
        <v>5</v>
      </c>
      <c r="AL123" s="61">
        <v>5</v>
      </c>
      <c r="AM123" s="61">
        <v>5</v>
      </c>
      <c r="AN123" s="61">
        <v>5</v>
      </c>
      <c r="AO123" s="61">
        <v>5</v>
      </c>
      <c r="AP123" s="61">
        <v>5</v>
      </c>
      <c r="AQ123" s="61">
        <v>5</v>
      </c>
      <c r="AR123" s="61">
        <v>5</v>
      </c>
      <c r="AS123" s="61">
        <v>5</v>
      </c>
      <c r="AT123" s="91">
        <v>4</v>
      </c>
      <c r="AU123" s="91">
        <v>2</v>
      </c>
      <c r="AV123" s="91">
        <v>2</v>
      </c>
      <c r="AW123" s="91">
        <v>5</v>
      </c>
      <c r="AX123" s="91">
        <v>4</v>
      </c>
      <c r="AY123" s="91">
        <v>4</v>
      </c>
      <c r="AZ123" s="91">
        <v>4</v>
      </c>
      <c r="BA123" s="91">
        <v>4</v>
      </c>
      <c r="BB123" s="91">
        <v>4</v>
      </c>
      <c r="BC123" s="91">
        <v>4</v>
      </c>
      <c r="BD123" s="91">
        <v>5</v>
      </c>
      <c r="BE123" s="91">
        <v>4</v>
      </c>
      <c r="BF123" s="91">
        <v>4</v>
      </c>
      <c r="BG123" s="91">
        <v>4</v>
      </c>
      <c r="BH123" s="91">
        <v>2</v>
      </c>
      <c r="BI123" s="91">
        <v>2</v>
      </c>
      <c r="BJ123" s="91">
        <v>2</v>
      </c>
      <c r="BK123" s="91">
        <v>5</v>
      </c>
      <c r="BL123" s="91">
        <v>5</v>
      </c>
      <c r="BM123" s="91">
        <v>4</v>
      </c>
      <c r="BN123" s="91">
        <v>5</v>
      </c>
      <c r="BO123" s="91">
        <v>4</v>
      </c>
      <c r="BP123" s="91">
        <v>4</v>
      </c>
      <c r="BQ123" s="91">
        <v>4</v>
      </c>
      <c r="BR123" s="91">
        <v>4</v>
      </c>
      <c r="BS123" s="91">
        <v>4</v>
      </c>
      <c r="BT123" s="91">
        <v>4</v>
      </c>
    </row>
    <row r="124" spans="1:72" x14ac:dyDescent="0.2">
      <c r="A124" s="12">
        <v>0</v>
      </c>
      <c r="B124" s="42"/>
      <c r="C124" s="12" t="s">
        <v>4277</v>
      </c>
      <c r="D124" s="42"/>
      <c r="E124" s="42">
        <f t="shared" ref="E124:E133" si="120">A124*0.45</f>
        <v>0</v>
      </c>
      <c r="G124" s="23">
        <v>90</v>
      </c>
      <c r="H124" s="61">
        <v>5</v>
      </c>
      <c r="I124" s="61">
        <v>5</v>
      </c>
      <c r="J124" s="61">
        <v>5</v>
      </c>
      <c r="K124" s="61">
        <v>5</v>
      </c>
      <c r="L124" s="61">
        <v>5</v>
      </c>
      <c r="M124" s="61">
        <v>5</v>
      </c>
      <c r="N124" s="61">
        <v>5</v>
      </c>
      <c r="O124" s="61">
        <v>5</v>
      </c>
      <c r="P124" s="61">
        <v>5</v>
      </c>
      <c r="Q124" s="61">
        <v>5</v>
      </c>
      <c r="R124" s="61">
        <v>5</v>
      </c>
      <c r="S124" s="61">
        <v>5</v>
      </c>
      <c r="T124" s="61">
        <v>5</v>
      </c>
      <c r="U124" s="61">
        <v>5</v>
      </c>
      <c r="V124" s="61">
        <v>5</v>
      </c>
      <c r="W124" s="61">
        <v>5</v>
      </c>
      <c r="X124" s="61">
        <v>5</v>
      </c>
      <c r="Y124" s="61">
        <v>5</v>
      </c>
      <c r="Z124" s="61">
        <v>5</v>
      </c>
      <c r="AA124" s="61">
        <v>5</v>
      </c>
      <c r="AB124" s="61">
        <v>5</v>
      </c>
      <c r="AC124" s="61">
        <v>5</v>
      </c>
      <c r="AD124" s="61">
        <v>5</v>
      </c>
      <c r="AE124" s="61">
        <v>5</v>
      </c>
      <c r="AF124" s="61">
        <v>5</v>
      </c>
      <c r="AG124" s="61">
        <v>5</v>
      </c>
      <c r="AH124" s="61">
        <v>5</v>
      </c>
      <c r="AI124" s="61">
        <v>5</v>
      </c>
      <c r="AJ124" s="61">
        <v>5</v>
      </c>
      <c r="AK124" s="61">
        <v>5</v>
      </c>
      <c r="AL124" s="61">
        <v>5</v>
      </c>
      <c r="AM124" s="61">
        <v>5</v>
      </c>
      <c r="AN124" s="61">
        <v>5</v>
      </c>
      <c r="AO124" s="61">
        <v>5</v>
      </c>
      <c r="AP124" s="61">
        <v>5</v>
      </c>
      <c r="AQ124" s="61">
        <v>5</v>
      </c>
      <c r="AR124" s="61">
        <v>5</v>
      </c>
      <c r="AS124" s="61">
        <v>5</v>
      </c>
      <c r="AT124" s="91">
        <v>4</v>
      </c>
      <c r="AU124" s="91">
        <v>2</v>
      </c>
      <c r="AV124" s="91">
        <v>2</v>
      </c>
      <c r="AW124" s="91">
        <v>5</v>
      </c>
      <c r="AX124" s="91">
        <v>4</v>
      </c>
      <c r="AY124" s="91">
        <v>4</v>
      </c>
      <c r="AZ124" s="91">
        <v>4</v>
      </c>
      <c r="BA124" s="91">
        <v>4</v>
      </c>
      <c r="BB124" s="91">
        <v>4</v>
      </c>
      <c r="BC124" s="91">
        <v>4</v>
      </c>
      <c r="BD124" s="91">
        <v>5</v>
      </c>
      <c r="BE124" s="91">
        <v>4</v>
      </c>
      <c r="BF124" s="91">
        <v>4</v>
      </c>
      <c r="BG124" s="91">
        <v>4</v>
      </c>
      <c r="BH124" s="91">
        <v>2</v>
      </c>
      <c r="BI124" s="91">
        <v>2</v>
      </c>
      <c r="BJ124" s="91">
        <v>2</v>
      </c>
      <c r="BK124" s="91">
        <v>5</v>
      </c>
      <c r="BL124" s="91">
        <v>5</v>
      </c>
      <c r="BM124" s="91">
        <v>4</v>
      </c>
      <c r="BN124" s="91">
        <v>5</v>
      </c>
      <c r="BO124" s="91">
        <v>4</v>
      </c>
      <c r="BP124" s="91">
        <v>4</v>
      </c>
      <c r="BQ124" s="91">
        <v>4</v>
      </c>
      <c r="BR124" s="91">
        <v>4</v>
      </c>
      <c r="BS124" s="91">
        <v>4</v>
      </c>
      <c r="BT124" s="91">
        <v>4</v>
      </c>
    </row>
    <row r="125" spans="1:72" x14ac:dyDescent="0.2">
      <c r="A125" s="12">
        <v>1</v>
      </c>
      <c r="B125" s="42">
        <f t="shared" ref="B125:B133" si="121">12*D125</f>
        <v>0</v>
      </c>
      <c r="C125" s="12" t="s">
        <v>4278</v>
      </c>
      <c r="D125" s="42"/>
      <c r="E125" s="42">
        <f t="shared" si="120"/>
        <v>0.45</v>
      </c>
      <c r="F125" s="12">
        <f t="shared" ref="F125:F133" si="122">B125*2.54</f>
        <v>0</v>
      </c>
      <c r="G125" s="23">
        <v>91</v>
      </c>
      <c r="H125" s="61">
        <v>5</v>
      </c>
      <c r="I125" s="61">
        <v>5</v>
      </c>
      <c r="J125" s="61">
        <v>5</v>
      </c>
      <c r="K125" s="61">
        <v>5</v>
      </c>
      <c r="L125" s="61">
        <v>5</v>
      </c>
      <c r="M125" s="61">
        <v>5</v>
      </c>
      <c r="N125" s="61">
        <v>5</v>
      </c>
      <c r="O125" s="61">
        <v>5</v>
      </c>
      <c r="P125" s="61">
        <v>5</v>
      </c>
      <c r="Q125" s="61">
        <v>5</v>
      </c>
      <c r="R125" s="61">
        <v>5</v>
      </c>
      <c r="S125" s="61">
        <v>5</v>
      </c>
      <c r="T125" s="61">
        <v>5</v>
      </c>
      <c r="U125" s="61">
        <v>5</v>
      </c>
      <c r="V125" s="61">
        <v>5</v>
      </c>
      <c r="W125" s="61">
        <v>5</v>
      </c>
      <c r="X125" s="61">
        <v>5</v>
      </c>
      <c r="Y125" s="61">
        <v>5</v>
      </c>
      <c r="Z125" s="61">
        <v>5</v>
      </c>
      <c r="AA125" s="61">
        <v>5</v>
      </c>
      <c r="AB125" s="61">
        <v>5</v>
      </c>
      <c r="AC125" s="61">
        <v>5</v>
      </c>
      <c r="AD125" s="61">
        <v>5</v>
      </c>
      <c r="AE125" s="61">
        <v>5</v>
      </c>
      <c r="AF125" s="61">
        <v>5</v>
      </c>
      <c r="AG125" s="61">
        <v>5</v>
      </c>
      <c r="AH125" s="61">
        <v>5</v>
      </c>
      <c r="AI125" s="61">
        <v>5</v>
      </c>
      <c r="AJ125" s="61">
        <v>5</v>
      </c>
      <c r="AK125" s="61">
        <v>5</v>
      </c>
      <c r="AL125" s="61">
        <v>5</v>
      </c>
      <c r="AM125" s="61">
        <v>5</v>
      </c>
      <c r="AN125" s="61">
        <v>5</v>
      </c>
      <c r="AO125" s="61">
        <v>5</v>
      </c>
      <c r="AP125" s="61">
        <v>5</v>
      </c>
      <c r="AQ125" s="61">
        <v>5</v>
      </c>
      <c r="AR125" s="61">
        <v>5</v>
      </c>
      <c r="AS125" s="61">
        <v>5</v>
      </c>
      <c r="AT125" s="91">
        <v>4</v>
      </c>
      <c r="AU125" s="91">
        <v>2</v>
      </c>
      <c r="AV125" s="91">
        <v>2</v>
      </c>
      <c r="AW125" s="91">
        <v>5</v>
      </c>
      <c r="AX125" s="91">
        <v>5</v>
      </c>
      <c r="AY125" s="91">
        <v>5</v>
      </c>
      <c r="AZ125" s="91">
        <v>5</v>
      </c>
      <c r="BA125" s="91">
        <v>5</v>
      </c>
      <c r="BB125" s="91">
        <v>5</v>
      </c>
      <c r="BC125" s="91">
        <v>5</v>
      </c>
      <c r="BD125" s="91">
        <v>6</v>
      </c>
      <c r="BE125" s="91">
        <v>5</v>
      </c>
      <c r="BF125" s="91">
        <v>5</v>
      </c>
      <c r="BG125" s="91">
        <v>5</v>
      </c>
      <c r="BH125" s="91">
        <v>2</v>
      </c>
      <c r="BI125" s="91">
        <v>2</v>
      </c>
      <c r="BJ125" s="91">
        <v>2</v>
      </c>
      <c r="BK125" s="91">
        <v>5</v>
      </c>
      <c r="BL125" s="91">
        <v>5</v>
      </c>
      <c r="BM125" s="91">
        <v>5</v>
      </c>
      <c r="BN125" s="91">
        <v>6</v>
      </c>
      <c r="BO125" s="91">
        <v>5</v>
      </c>
      <c r="BP125" s="91">
        <v>5</v>
      </c>
      <c r="BQ125" s="91">
        <v>5</v>
      </c>
      <c r="BR125" s="91">
        <v>5</v>
      </c>
      <c r="BS125" s="91">
        <v>5</v>
      </c>
      <c r="BT125" s="91">
        <v>5</v>
      </c>
    </row>
    <row r="126" spans="1:72" x14ac:dyDescent="0.2">
      <c r="A126" s="12">
        <v>4</v>
      </c>
      <c r="B126" s="42">
        <f t="shared" si="121"/>
        <v>6</v>
      </c>
      <c r="C126" s="12" t="s">
        <v>4279</v>
      </c>
      <c r="D126" s="42">
        <v>0.5</v>
      </c>
      <c r="E126" s="42">
        <f t="shared" si="120"/>
        <v>1.8</v>
      </c>
      <c r="F126" s="12">
        <f t="shared" si="122"/>
        <v>15.24</v>
      </c>
      <c r="G126" s="23">
        <v>92</v>
      </c>
      <c r="H126" s="61">
        <v>5</v>
      </c>
      <c r="I126" s="61">
        <v>5</v>
      </c>
      <c r="J126" s="61">
        <v>5</v>
      </c>
      <c r="K126" s="61">
        <v>5</v>
      </c>
      <c r="L126" s="61">
        <v>5</v>
      </c>
      <c r="M126" s="61">
        <v>5</v>
      </c>
      <c r="N126" s="61">
        <v>5</v>
      </c>
      <c r="O126" s="61">
        <v>5</v>
      </c>
      <c r="P126" s="61">
        <v>5</v>
      </c>
      <c r="Q126" s="61">
        <v>5</v>
      </c>
      <c r="R126" s="61">
        <v>5</v>
      </c>
      <c r="S126" s="61">
        <v>5</v>
      </c>
      <c r="T126" s="61">
        <v>5</v>
      </c>
      <c r="U126" s="61">
        <v>5</v>
      </c>
      <c r="V126" s="61">
        <v>5</v>
      </c>
      <c r="W126" s="61">
        <v>5</v>
      </c>
      <c r="X126" s="61">
        <v>5</v>
      </c>
      <c r="Y126" s="61">
        <v>5</v>
      </c>
      <c r="Z126" s="61">
        <v>5</v>
      </c>
      <c r="AA126" s="61">
        <v>5</v>
      </c>
      <c r="AB126" s="61">
        <v>5</v>
      </c>
      <c r="AC126" s="61">
        <v>5</v>
      </c>
      <c r="AD126" s="61">
        <v>5</v>
      </c>
      <c r="AE126" s="61">
        <v>5</v>
      </c>
      <c r="AF126" s="61">
        <v>5</v>
      </c>
      <c r="AG126" s="61">
        <v>5</v>
      </c>
      <c r="AH126" s="61">
        <v>5</v>
      </c>
      <c r="AI126" s="61">
        <v>5</v>
      </c>
      <c r="AJ126" s="61">
        <v>5</v>
      </c>
      <c r="AK126" s="61">
        <v>5</v>
      </c>
      <c r="AL126" s="61">
        <v>5</v>
      </c>
      <c r="AM126" s="61">
        <v>5</v>
      </c>
      <c r="AN126" s="61">
        <v>5</v>
      </c>
      <c r="AO126" s="61">
        <v>5</v>
      </c>
      <c r="AP126" s="61">
        <v>5</v>
      </c>
      <c r="AQ126" s="61">
        <v>5</v>
      </c>
      <c r="AR126" s="61">
        <v>5</v>
      </c>
      <c r="AS126" s="61">
        <v>5</v>
      </c>
      <c r="AT126" s="91">
        <v>4</v>
      </c>
      <c r="AU126" s="91">
        <v>2</v>
      </c>
      <c r="AV126" s="91">
        <v>2</v>
      </c>
      <c r="AW126" s="91">
        <v>5</v>
      </c>
      <c r="AX126" s="91">
        <v>5</v>
      </c>
      <c r="AY126" s="91">
        <v>5</v>
      </c>
      <c r="AZ126" s="91">
        <v>5</v>
      </c>
      <c r="BA126" s="91">
        <v>5</v>
      </c>
      <c r="BB126" s="91">
        <v>5</v>
      </c>
      <c r="BC126" s="91">
        <v>5</v>
      </c>
      <c r="BD126" s="91">
        <v>6</v>
      </c>
      <c r="BE126" s="91">
        <v>5</v>
      </c>
      <c r="BF126" s="91">
        <v>5</v>
      </c>
      <c r="BG126" s="91">
        <v>5</v>
      </c>
      <c r="BH126" s="91">
        <v>2</v>
      </c>
      <c r="BI126" s="91">
        <v>2</v>
      </c>
      <c r="BJ126" s="91">
        <v>2</v>
      </c>
      <c r="BK126" s="91">
        <v>5</v>
      </c>
      <c r="BL126" s="91">
        <v>5</v>
      </c>
      <c r="BM126" s="91">
        <v>5</v>
      </c>
      <c r="BN126" s="91">
        <v>6</v>
      </c>
      <c r="BO126" s="91">
        <v>5</v>
      </c>
      <c r="BP126" s="91">
        <v>5</v>
      </c>
      <c r="BQ126" s="91">
        <v>5</v>
      </c>
      <c r="BR126" s="91">
        <v>5</v>
      </c>
      <c r="BS126" s="91">
        <v>5</v>
      </c>
      <c r="BT126" s="91">
        <v>5</v>
      </c>
    </row>
    <row r="127" spans="1:72" x14ac:dyDescent="0.2">
      <c r="A127" s="12">
        <v>16</v>
      </c>
      <c r="B127" s="42">
        <f t="shared" si="121"/>
        <v>12</v>
      </c>
      <c r="C127" s="12" t="s">
        <v>4280</v>
      </c>
      <c r="D127" s="42">
        <v>1</v>
      </c>
      <c r="E127" s="42">
        <f t="shared" si="120"/>
        <v>7.2</v>
      </c>
      <c r="F127" s="12">
        <f t="shared" si="122"/>
        <v>30.48</v>
      </c>
      <c r="G127" s="23">
        <v>93</v>
      </c>
      <c r="H127" s="61">
        <v>6</v>
      </c>
      <c r="I127" s="61">
        <v>6</v>
      </c>
      <c r="J127" s="61">
        <v>6</v>
      </c>
      <c r="K127" s="61">
        <v>6</v>
      </c>
      <c r="L127" s="61">
        <v>6</v>
      </c>
      <c r="M127" s="61">
        <v>6</v>
      </c>
      <c r="N127" s="61">
        <v>6</v>
      </c>
      <c r="O127" s="61">
        <v>6</v>
      </c>
      <c r="P127" s="61">
        <v>6</v>
      </c>
      <c r="Q127" s="61">
        <v>6</v>
      </c>
      <c r="R127" s="61">
        <v>6</v>
      </c>
      <c r="S127" s="61">
        <v>6</v>
      </c>
      <c r="T127" s="61">
        <v>6</v>
      </c>
      <c r="U127" s="61">
        <v>6</v>
      </c>
      <c r="V127" s="61">
        <v>6</v>
      </c>
      <c r="W127" s="61">
        <v>6</v>
      </c>
      <c r="X127" s="61">
        <v>6</v>
      </c>
      <c r="Y127" s="61">
        <v>6</v>
      </c>
      <c r="Z127" s="61">
        <v>6</v>
      </c>
      <c r="AA127" s="61">
        <v>6</v>
      </c>
      <c r="AB127" s="61">
        <v>6</v>
      </c>
      <c r="AC127" s="61">
        <v>6</v>
      </c>
      <c r="AD127" s="61">
        <v>6</v>
      </c>
      <c r="AE127" s="61">
        <v>6</v>
      </c>
      <c r="AF127" s="61">
        <v>6</v>
      </c>
      <c r="AG127" s="61">
        <v>6</v>
      </c>
      <c r="AH127" s="61">
        <v>6</v>
      </c>
      <c r="AI127" s="61">
        <v>6</v>
      </c>
      <c r="AJ127" s="61">
        <v>6</v>
      </c>
      <c r="AK127" s="61">
        <v>6</v>
      </c>
      <c r="AL127" s="61">
        <v>6</v>
      </c>
      <c r="AM127" s="61">
        <v>6</v>
      </c>
      <c r="AN127" s="61">
        <v>6</v>
      </c>
      <c r="AO127" s="61">
        <v>6</v>
      </c>
      <c r="AP127" s="61">
        <v>6</v>
      </c>
      <c r="AQ127" s="61">
        <v>6</v>
      </c>
      <c r="AR127" s="61">
        <v>6</v>
      </c>
      <c r="AS127" s="61">
        <v>6</v>
      </c>
      <c r="AT127" s="91">
        <v>4</v>
      </c>
      <c r="AU127" s="91">
        <v>2</v>
      </c>
      <c r="AV127" s="91">
        <v>2</v>
      </c>
      <c r="AW127" s="91">
        <v>6</v>
      </c>
      <c r="AX127" s="91">
        <v>5</v>
      </c>
      <c r="AY127" s="91">
        <v>5</v>
      </c>
      <c r="AZ127" s="91">
        <v>5</v>
      </c>
      <c r="BA127" s="91">
        <v>5</v>
      </c>
      <c r="BB127" s="91">
        <v>5</v>
      </c>
      <c r="BC127" s="91">
        <v>5</v>
      </c>
      <c r="BD127" s="91">
        <v>6</v>
      </c>
      <c r="BE127" s="91">
        <v>5</v>
      </c>
      <c r="BF127" s="91">
        <v>5</v>
      </c>
      <c r="BG127" s="91">
        <v>5</v>
      </c>
      <c r="BH127" s="91">
        <v>2</v>
      </c>
      <c r="BI127" s="91">
        <v>2</v>
      </c>
      <c r="BJ127" s="91">
        <v>2</v>
      </c>
      <c r="BK127" s="91">
        <v>6</v>
      </c>
      <c r="BL127" s="91">
        <v>6</v>
      </c>
      <c r="BM127" s="91">
        <v>5</v>
      </c>
      <c r="BN127" s="91">
        <v>6</v>
      </c>
      <c r="BO127" s="91">
        <v>5</v>
      </c>
      <c r="BP127" s="91">
        <v>5</v>
      </c>
      <c r="BQ127" s="91">
        <v>5</v>
      </c>
      <c r="BR127" s="91">
        <v>5</v>
      </c>
      <c r="BS127" s="91">
        <v>5</v>
      </c>
      <c r="BT127" s="91">
        <v>5</v>
      </c>
    </row>
    <row r="128" spans="1:72" x14ac:dyDescent="0.2">
      <c r="A128" s="12">
        <v>64</v>
      </c>
      <c r="B128" s="42">
        <f t="shared" si="121"/>
        <v>48</v>
      </c>
      <c r="C128" s="12" t="s">
        <v>4281</v>
      </c>
      <c r="D128" s="42">
        <v>4</v>
      </c>
      <c r="E128" s="42">
        <f t="shared" si="120"/>
        <v>28.8</v>
      </c>
      <c r="F128" s="12">
        <f t="shared" si="122"/>
        <v>121.92</v>
      </c>
      <c r="G128" s="23">
        <v>94</v>
      </c>
      <c r="H128" s="61">
        <v>6</v>
      </c>
      <c r="I128" s="61">
        <v>6</v>
      </c>
      <c r="J128" s="61">
        <v>6</v>
      </c>
      <c r="K128" s="61">
        <v>6</v>
      </c>
      <c r="L128" s="61">
        <v>6</v>
      </c>
      <c r="M128" s="61">
        <v>6</v>
      </c>
      <c r="N128" s="61">
        <v>6</v>
      </c>
      <c r="O128" s="61">
        <v>6</v>
      </c>
      <c r="P128" s="61">
        <v>6</v>
      </c>
      <c r="Q128" s="61">
        <v>6</v>
      </c>
      <c r="R128" s="61">
        <v>6</v>
      </c>
      <c r="S128" s="61">
        <v>6</v>
      </c>
      <c r="T128" s="61">
        <v>6</v>
      </c>
      <c r="U128" s="61">
        <v>6</v>
      </c>
      <c r="V128" s="61">
        <v>6</v>
      </c>
      <c r="W128" s="61">
        <v>6</v>
      </c>
      <c r="X128" s="61">
        <v>6</v>
      </c>
      <c r="Y128" s="61">
        <v>6</v>
      </c>
      <c r="Z128" s="61">
        <v>6</v>
      </c>
      <c r="AA128" s="61">
        <v>6</v>
      </c>
      <c r="AB128" s="61">
        <v>6</v>
      </c>
      <c r="AC128" s="61">
        <v>6</v>
      </c>
      <c r="AD128" s="61">
        <v>6</v>
      </c>
      <c r="AE128" s="61">
        <v>6</v>
      </c>
      <c r="AF128" s="61">
        <v>6</v>
      </c>
      <c r="AG128" s="61">
        <v>6</v>
      </c>
      <c r="AH128" s="61">
        <v>6</v>
      </c>
      <c r="AI128" s="61">
        <v>6</v>
      </c>
      <c r="AJ128" s="61">
        <v>6</v>
      </c>
      <c r="AK128" s="61">
        <v>6</v>
      </c>
      <c r="AL128" s="61">
        <v>6</v>
      </c>
      <c r="AM128" s="61">
        <v>6</v>
      </c>
      <c r="AN128" s="61">
        <v>6</v>
      </c>
      <c r="AO128" s="61">
        <v>6</v>
      </c>
      <c r="AP128" s="61">
        <v>6</v>
      </c>
      <c r="AQ128" s="61">
        <v>6</v>
      </c>
      <c r="AR128" s="61">
        <v>6</v>
      </c>
      <c r="AS128" s="61">
        <v>6</v>
      </c>
      <c r="AT128" s="91">
        <v>4</v>
      </c>
      <c r="AU128" s="91">
        <v>2</v>
      </c>
      <c r="AV128" s="91">
        <v>2</v>
      </c>
      <c r="AW128" s="91">
        <v>6</v>
      </c>
      <c r="AX128" s="91">
        <v>5</v>
      </c>
      <c r="AY128" s="91">
        <v>5</v>
      </c>
      <c r="AZ128" s="91">
        <v>5</v>
      </c>
      <c r="BA128" s="91">
        <v>5</v>
      </c>
      <c r="BB128" s="91">
        <v>5</v>
      </c>
      <c r="BC128" s="91">
        <v>5</v>
      </c>
      <c r="BD128" s="91">
        <v>6</v>
      </c>
      <c r="BE128" s="91">
        <v>5</v>
      </c>
      <c r="BF128" s="91">
        <v>5</v>
      </c>
      <c r="BG128" s="91">
        <v>5</v>
      </c>
      <c r="BH128" s="91">
        <v>2</v>
      </c>
      <c r="BI128" s="91">
        <v>2</v>
      </c>
      <c r="BJ128" s="91">
        <v>2</v>
      </c>
      <c r="BK128" s="91">
        <v>6</v>
      </c>
      <c r="BL128" s="91">
        <v>6</v>
      </c>
      <c r="BM128" s="91">
        <v>5</v>
      </c>
      <c r="BN128" s="91">
        <v>6</v>
      </c>
      <c r="BO128" s="91">
        <v>5</v>
      </c>
      <c r="BP128" s="91">
        <v>5</v>
      </c>
      <c r="BQ128" s="91">
        <v>5</v>
      </c>
      <c r="BR128" s="91">
        <v>5</v>
      </c>
      <c r="BS128" s="91">
        <v>5</v>
      </c>
      <c r="BT128" s="91">
        <v>5</v>
      </c>
    </row>
    <row r="129" spans="1:72" x14ac:dyDescent="0.2">
      <c r="A129" s="12">
        <v>256</v>
      </c>
      <c r="B129" s="42">
        <f t="shared" si="121"/>
        <v>96</v>
      </c>
      <c r="C129" s="12" t="s">
        <v>4282</v>
      </c>
      <c r="D129" s="42">
        <v>8</v>
      </c>
      <c r="E129" s="42">
        <f t="shared" si="120"/>
        <v>115.2</v>
      </c>
      <c r="F129" s="12">
        <f t="shared" si="122"/>
        <v>243.84</v>
      </c>
      <c r="G129" s="23">
        <v>95</v>
      </c>
      <c r="H129" s="61">
        <v>7</v>
      </c>
      <c r="I129" s="61">
        <v>7</v>
      </c>
      <c r="J129" s="61">
        <v>7</v>
      </c>
      <c r="K129" s="61">
        <v>7</v>
      </c>
      <c r="L129" s="61">
        <v>7</v>
      </c>
      <c r="M129" s="61">
        <v>7</v>
      </c>
      <c r="N129" s="61">
        <v>7</v>
      </c>
      <c r="O129" s="61">
        <v>7</v>
      </c>
      <c r="P129" s="61">
        <v>7</v>
      </c>
      <c r="Q129" s="61">
        <v>7</v>
      </c>
      <c r="R129" s="61">
        <v>7</v>
      </c>
      <c r="S129" s="61">
        <v>7</v>
      </c>
      <c r="T129" s="61">
        <v>7</v>
      </c>
      <c r="U129" s="61">
        <v>7</v>
      </c>
      <c r="V129" s="61">
        <v>7</v>
      </c>
      <c r="W129" s="61">
        <v>7</v>
      </c>
      <c r="X129" s="61">
        <v>7</v>
      </c>
      <c r="Y129" s="61">
        <v>7</v>
      </c>
      <c r="Z129" s="61">
        <v>7</v>
      </c>
      <c r="AA129" s="61">
        <v>7</v>
      </c>
      <c r="AB129" s="61">
        <v>7</v>
      </c>
      <c r="AC129" s="61">
        <v>7</v>
      </c>
      <c r="AD129" s="61">
        <v>7</v>
      </c>
      <c r="AE129" s="61">
        <v>7</v>
      </c>
      <c r="AF129" s="61">
        <v>7</v>
      </c>
      <c r="AG129" s="61">
        <v>7</v>
      </c>
      <c r="AH129" s="61">
        <v>7</v>
      </c>
      <c r="AI129" s="61">
        <v>7</v>
      </c>
      <c r="AJ129" s="61">
        <v>7</v>
      </c>
      <c r="AK129" s="61">
        <v>7</v>
      </c>
      <c r="AL129" s="61">
        <v>7</v>
      </c>
      <c r="AM129" s="61">
        <v>7</v>
      </c>
      <c r="AN129" s="61">
        <v>7</v>
      </c>
      <c r="AO129" s="61">
        <v>7</v>
      </c>
      <c r="AP129" s="61">
        <v>7</v>
      </c>
      <c r="AQ129" s="61">
        <v>7</v>
      </c>
      <c r="AR129" s="61">
        <v>7</v>
      </c>
      <c r="AS129" s="61">
        <v>7</v>
      </c>
      <c r="AT129" s="91">
        <v>5</v>
      </c>
      <c r="AU129" s="91">
        <v>2</v>
      </c>
      <c r="AV129" s="91">
        <v>2</v>
      </c>
      <c r="AW129" s="91">
        <v>6</v>
      </c>
      <c r="AX129" s="91">
        <v>6</v>
      </c>
      <c r="AY129" s="91">
        <v>6</v>
      </c>
      <c r="AZ129" s="91">
        <v>6</v>
      </c>
      <c r="BA129" s="91">
        <v>6</v>
      </c>
      <c r="BB129" s="91">
        <v>6</v>
      </c>
      <c r="BC129" s="91">
        <v>5</v>
      </c>
      <c r="BD129" s="91">
        <v>7</v>
      </c>
      <c r="BE129" s="91">
        <v>6</v>
      </c>
      <c r="BF129" s="91">
        <v>6</v>
      </c>
      <c r="BG129" s="91">
        <v>6</v>
      </c>
      <c r="BH129" s="91">
        <v>2</v>
      </c>
      <c r="BI129" s="91">
        <v>2</v>
      </c>
      <c r="BJ129" s="91">
        <v>2</v>
      </c>
      <c r="BK129" s="91">
        <v>6</v>
      </c>
      <c r="BL129" s="91">
        <v>6</v>
      </c>
      <c r="BM129" s="91">
        <v>5</v>
      </c>
      <c r="BN129" s="91">
        <v>7</v>
      </c>
      <c r="BO129" s="91">
        <v>5</v>
      </c>
      <c r="BP129" s="91">
        <v>5</v>
      </c>
      <c r="BQ129" s="91">
        <v>5</v>
      </c>
      <c r="BR129" s="91">
        <v>5</v>
      </c>
      <c r="BS129" s="91">
        <v>5</v>
      </c>
      <c r="BT129" s="91">
        <v>5</v>
      </c>
    </row>
    <row r="130" spans="1:72" x14ac:dyDescent="0.2">
      <c r="A130" s="12">
        <v>1024</v>
      </c>
      <c r="B130" s="42">
        <f t="shared" si="121"/>
        <v>180</v>
      </c>
      <c r="C130" s="12" t="s">
        <v>4283</v>
      </c>
      <c r="D130" s="42">
        <v>15</v>
      </c>
      <c r="E130" s="42">
        <f t="shared" si="120"/>
        <v>460.8</v>
      </c>
      <c r="F130" s="12">
        <f t="shared" si="122"/>
        <v>457.2</v>
      </c>
      <c r="G130" s="23">
        <v>96</v>
      </c>
      <c r="H130" s="61">
        <v>7</v>
      </c>
      <c r="I130" s="61">
        <v>7</v>
      </c>
      <c r="J130" s="61">
        <v>7</v>
      </c>
      <c r="K130" s="61">
        <v>7</v>
      </c>
      <c r="L130" s="61">
        <v>7</v>
      </c>
      <c r="M130" s="61">
        <v>7</v>
      </c>
      <c r="N130" s="61">
        <v>7</v>
      </c>
      <c r="O130" s="61">
        <v>7</v>
      </c>
      <c r="P130" s="61">
        <v>7</v>
      </c>
      <c r="Q130" s="61">
        <v>7</v>
      </c>
      <c r="R130" s="61">
        <v>7</v>
      </c>
      <c r="S130" s="61">
        <v>7</v>
      </c>
      <c r="T130" s="61">
        <v>7</v>
      </c>
      <c r="U130" s="61">
        <v>7</v>
      </c>
      <c r="V130" s="61">
        <v>7</v>
      </c>
      <c r="W130" s="61">
        <v>7</v>
      </c>
      <c r="X130" s="61">
        <v>7</v>
      </c>
      <c r="Y130" s="61">
        <v>7</v>
      </c>
      <c r="Z130" s="61">
        <v>7</v>
      </c>
      <c r="AA130" s="61">
        <v>7</v>
      </c>
      <c r="AB130" s="61">
        <v>7</v>
      </c>
      <c r="AC130" s="61">
        <v>7</v>
      </c>
      <c r="AD130" s="61">
        <v>7</v>
      </c>
      <c r="AE130" s="61">
        <v>7</v>
      </c>
      <c r="AF130" s="61">
        <v>7</v>
      </c>
      <c r="AG130" s="61">
        <v>7</v>
      </c>
      <c r="AH130" s="61">
        <v>7</v>
      </c>
      <c r="AI130" s="61">
        <v>7</v>
      </c>
      <c r="AJ130" s="61">
        <v>7</v>
      </c>
      <c r="AK130" s="61">
        <v>7</v>
      </c>
      <c r="AL130" s="61">
        <v>7</v>
      </c>
      <c r="AM130" s="61">
        <v>7</v>
      </c>
      <c r="AN130" s="61">
        <v>7</v>
      </c>
      <c r="AO130" s="61">
        <v>7</v>
      </c>
      <c r="AP130" s="61">
        <v>7</v>
      </c>
      <c r="AQ130" s="61">
        <v>7</v>
      </c>
      <c r="AR130" s="61">
        <v>7</v>
      </c>
      <c r="AS130" s="61">
        <v>7</v>
      </c>
      <c r="AT130" s="91">
        <v>5</v>
      </c>
      <c r="AU130" s="91">
        <v>3</v>
      </c>
      <c r="AV130" s="91">
        <v>3</v>
      </c>
      <c r="AW130" s="91">
        <v>7</v>
      </c>
      <c r="AX130" s="91">
        <v>6</v>
      </c>
      <c r="AY130" s="91">
        <v>6</v>
      </c>
      <c r="AZ130" s="91">
        <v>6</v>
      </c>
      <c r="BA130" s="91">
        <v>6</v>
      </c>
      <c r="BB130" s="91">
        <v>6</v>
      </c>
      <c r="BC130" s="91">
        <v>5</v>
      </c>
      <c r="BD130" s="91">
        <v>7</v>
      </c>
      <c r="BE130" s="91">
        <v>6</v>
      </c>
      <c r="BF130" s="91">
        <v>6</v>
      </c>
      <c r="BG130" s="91">
        <v>6</v>
      </c>
      <c r="BH130" s="91">
        <v>3</v>
      </c>
      <c r="BI130" s="91">
        <v>3</v>
      </c>
      <c r="BJ130" s="91">
        <v>3</v>
      </c>
      <c r="BK130" s="91">
        <v>7</v>
      </c>
      <c r="BL130" s="91">
        <v>7</v>
      </c>
      <c r="BM130" s="91">
        <v>5</v>
      </c>
      <c r="BN130" s="91">
        <v>7</v>
      </c>
      <c r="BO130" s="91">
        <v>5</v>
      </c>
      <c r="BP130" s="91">
        <v>5</v>
      </c>
      <c r="BQ130" s="91">
        <v>5</v>
      </c>
      <c r="BR130" s="91">
        <v>5</v>
      </c>
      <c r="BS130" s="91">
        <v>5</v>
      </c>
      <c r="BT130" s="91">
        <v>5</v>
      </c>
    </row>
    <row r="131" spans="1:72" x14ac:dyDescent="0.2">
      <c r="A131" s="12">
        <v>4000</v>
      </c>
      <c r="B131" s="42">
        <f t="shared" si="121"/>
        <v>300</v>
      </c>
      <c r="C131" s="12" t="s">
        <v>4284</v>
      </c>
      <c r="D131" s="42">
        <v>25</v>
      </c>
      <c r="E131" s="42">
        <f t="shared" si="120"/>
        <v>1800</v>
      </c>
      <c r="F131" s="12">
        <f t="shared" si="122"/>
        <v>762</v>
      </c>
      <c r="G131" s="23">
        <v>97</v>
      </c>
      <c r="H131" s="61">
        <v>8</v>
      </c>
      <c r="I131" s="61">
        <v>8</v>
      </c>
      <c r="J131" s="61">
        <v>8</v>
      </c>
      <c r="K131" s="61">
        <v>8</v>
      </c>
      <c r="L131" s="61">
        <v>8</v>
      </c>
      <c r="M131" s="61">
        <v>8</v>
      </c>
      <c r="N131" s="61">
        <v>8</v>
      </c>
      <c r="O131" s="61">
        <v>8</v>
      </c>
      <c r="P131" s="61">
        <v>8</v>
      </c>
      <c r="Q131" s="61">
        <v>8</v>
      </c>
      <c r="R131" s="61">
        <v>8</v>
      </c>
      <c r="S131" s="61">
        <v>8</v>
      </c>
      <c r="T131" s="61">
        <v>8</v>
      </c>
      <c r="U131" s="61">
        <v>8</v>
      </c>
      <c r="V131" s="61">
        <v>8</v>
      </c>
      <c r="W131" s="61">
        <v>8</v>
      </c>
      <c r="X131" s="61">
        <v>8</v>
      </c>
      <c r="Y131" s="61">
        <v>8</v>
      </c>
      <c r="Z131" s="61">
        <v>8</v>
      </c>
      <c r="AA131" s="61">
        <v>8</v>
      </c>
      <c r="AB131" s="61">
        <v>8</v>
      </c>
      <c r="AC131" s="61">
        <v>8</v>
      </c>
      <c r="AD131" s="61">
        <v>8</v>
      </c>
      <c r="AE131" s="61">
        <v>8</v>
      </c>
      <c r="AF131" s="61">
        <v>8</v>
      </c>
      <c r="AG131" s="61">
        <v>8</v>
      </c>
      <c r="AH131" s="61">
        <v>8</v>
      </c>
      <c r="AI131" s="61">
        <v>8</v>
      </c>
      <c r="AJ131" s="61">
        <v>8</v>
      </c>
      <c r="AK131" s="61">
        <v>8</v>
      </c>
      <c r="AL131" s="61">
        <v>8</v>
      </c>
      <c r="AM131" s="61">
        <v>8</v>
      </c>
      <c r="AN131" s="61">
        <v>8</v>
      </c>
      <c r="AO131" s="61">
        <v>8</v>
      </c>
      <c r="AP131" s="61">
        <v>8</v>
      </c>
      <c r="AQ131" s="61">
        <v>8</v>
      </c>
      <c r="AR131" s="61">
        <v>8</v>
      </c>
      <c r="AS131" s="61">
        <v>8</v>
      </c>
      <c r="AT131" s="91">
        <v>5</v>
      </c>
      <c r="AU131" s="91">
        <v>3</v>
      </c>
      <c r="AV131" s="91">
        <v>3</v>
      </c>
      <c r="AW131" s="91">
        <v>7</v>
      </c>
      <c r="AX131" s="91">
        <v>6</v>
      </c>
      <c r="AY131" s="91">
        <v>6</v>
      </c>
      <c r="AZ131" s="91">
        <v>6</v>
      </c>
      <c r="BA131" s="91">
        <v>6</v>
      </c>
      <c r="BB131" s="91">
        <v>6</v>
      </c>
      <c r="BC131" s="91">
        <v>6</v>
      </c>
      <c r="BD131" s="91">
        <v>8</v>
      </c>
      <c r="BE131" s="91">
        <v>6</v>
      </c>
      <c r="BF131" s="91">
        <v>6</v>
      </c>
      <c r="BG131" s="91">
        <v>6</v>
      </c>
      <c r="BH131" s="91">
        <v>3</v>
      </c>
      <c r="BI131" s="91">
        <v>3</v>
      </c>
      <c r="BJ131" s="91">
        <v>3</v>
      </c>
      <c r="BK131" s="91">
        <v>7</v>
      </c>
      <c r="BL131" s="91">
        <v>7</v>
      </c>
      <c r="BM131" s="91">
        <v>6</v>
      </c>
      <c r="BN131" s="91">
        <v>8</v>
      </c>
      <c r="BO131" s="91">
        <v>6</v>
      </c>
      <c r="BP131" s="91">
        <v>6</v>
      </c>
      <c r="BQ131" s="91">
        <v>6</v>
      </c>
      <c r="BR131" s="91">
        <v>6</v>
      </c>
      <c r="BS131" s="91">
        <v>6</v>
      </c>
      <c r="BT131" s="91">
        <v>6</v>
      </c>
    </row>
    <row r="132" spans="1:72" x14ac:dyDescent="0.2">
      <c r="A132" s="12">
        <v>16000</v>
      </c>
      <c r="B132" s="42">
        <f t="shared" si="121"/>
        <v>600</v>
      </c>
      <c r="C132" s="12" t="s">
        <v>4285</v>
      </c>
      <c r="D132" s="12">
        <v>50</v>
      </c>
      <c r="E132" s="42">
        <f t="shared" si="120"/>
        <v>7200</v>
      </c>
      <c r="F132" s="12">
        <f t="shared" si="122"/>
        <v>1524</v>
      </c>
      <c r="G132" s="23">
        <v>98</v>
      </c>
      <c r="H132" s="61">
        <v>8</v>
      </c>
      <c r="I132" s="61">
        <v>8</v>
      </c>
      <c r="J132" s="61">
        <v>8</v>
      </c>
      <c r="K132" s="61">
        <v>8</v>
      </c>
      <c r="L132" s="61">
        <v>8</v>
      </c>
      <c r="M132" s="61">
        <v>8</v>
      </c>
      <c r="N132" s="61">
        <v>8</v>
      </c>
      <c r="O132" s="61">
        <v>8</v>
      </c>
      <c r="P132" s="61">
        <v>8</v>
      </c>
      <c r="Q132" s="61">
        <v>8</v>
      </c>
      <c r="R132" s="61">
        <v>8</v>
      </c>
      <c r="S132" s="61">
        <v>8</v>
      </c>
      <c r="T132" s="61">
        <v>8</v>
      </c>
      <c r="U132" s="61">
        <v>8</v>
      </c>
      <c r="V132" s="61">
        <v>8</v>
      </c>
      <c r="W132" s="61">
        <v>8</v>
      </c>
      <c r="X132" s="61">
        <v>8</v>
      </c>
      <c r="Y132" s="61">
        <v>8</v>
      </c>
      <c r="Z132" s="61">
        <v>8</v>
      </c>
      <c r="AA132" s="61">
        <v>8</v>
      </c>
      <c r="AB132" s="61">
        <v>8</v>
      </c>
      <c r="AC132" s="61">
        <v>8</v>
      </c>
      <c r="AD132" s="61">
        <v>8</v>
      </c>
      <c r="AE132" s="61">
        <v>8</v>
      </c>
      <c r="AF132" s="61">
        <v>8</v>
      </c>
      <c r="AG132" s="61">
        <v>8</v>
      </c>
      <c r="AH132" s="61">
        <v>8</v>
      </c>
      <c r="AI132" s="61">
        <v>8</v>
      </c>
      <c r="AJ132" s="61">
        <v>8</v>
      </c>
      <c r="AK132" s="61">
        <v>8</v>
      </c>
      <c r="AL132" s="61">
        <v>8</v>
      </c>
      <c r="AM132" s="61">
        <v>8</v>
      </c>
      <c r="AN132" s="61">
        <v>8</v>
      </c>
      <c r="AO132" s="61">
        <v>8</v>
      </c>
      <c r="AP132" s="61">
        <v>8</v>
      </c>
      <c r="AQ132" s="61">
        <v>8</v>
      </c>
      <c r="AR132" s="61">
        <v>8</v>
      </c>
      <c r="AS132" s="61">
        <v>8</v>
      </c>
      <c r="AT132" s="91">
        <v>6</v>
      </c>
      <c r="AU132" s="91">
        <v>4</v>
      </c>
      <c r="AV132" s="91">
        <v>4</v>
      </c>
      <c r="AW132" s="91">
        <v>8</v>
      </c>
      <c r="AX132" s="91">
        <v>7</v>
      </c>
      <c r="AY132" s="91">
        <v>7</v>
      </c>
      <c r="AZ132" s="91">
        <v>7</v>
      </c>
      <c r="BA132" s="91">
        <v>7</v>
      </c>
      <c r="BB132" s="91">
        <v>7</v>
      </c>
      <c r="BC132" s="91">
        <v>6</v>
      </c>
      <c r="BD132" s="91">
        <v>8</v>
      </c>
      <c r="BE132" s="91">
        <v>7</v>
      </c>
      <c r="BF132" s="91">
        <v>7</v>
      </c>
      <c r="BG132" s="91">
        <v>7</v>
      </c>
      <c r="BH132" s="91">
        <v>4</v>
      </c>
      <c r="BI132" s="91">
        <v>4</v>
      </c>
      <c r="BJ132" s="91">
        <v>4</v>
      </c>
      <c r="BK132" s="91">
        <v>8</v>
      </c>
      <c r="BL132" s="91">
        <v>8</v>
      </c>
      <c r="BM132" s="91">
        <v>6</v>
      </c>
      <c r="BN132" s="91">
        <v>8</v>
      </c>
      <c r="BO132" s="91">
        <v>6</v>
      </c>
      <c r="BP132" s="91">
        <v>6</v>
      </c>
      <c r="BQ132" s="91">
        <v>6</v>
      </c>
      <c r="BR132" s="91">
        <v>6</v>
      </c>
      <c r="BS132" s="91">
        <v>6</v>
      </c>
      <c r="BT132" s="91">
        <v>6</v>
      </c>
    </row>
    <row r="133" spans="1:72" x14ac:dyDescent="0.2">
      <c r="A133" s="12">
        <v>48000</v>
      </c>
      <c r="B133" s="42">
        <f t="shared" si="121"/>
        <v>1200</v>
      </c>
      <c r="C133" s="12" t="s">
        <v>4286</v>
      </c>
      <c r="D133" s="12">
        <v>100</v>
      </c>
      <c r="E133" s="42">
        <f t="shared" si="120"/>
        <v>21600</v>
      </c>
      <c r="F133" s="12">
        <f t="shared" si="122"/>
        <v>3048</v>
      </c>
      <c r="G133" s="23">
        <v>99</v>
      </c>
      <c r="H133" s="61">
        <v>9</v>
      </c>
      <c r="I133" s="61">
        <v>9</v>
      </c>
      <c r="J133" s="61">
        <v>9</v>
      </c>
      <c r="K133" s="61">
        <v>9</v>
      </c>
      <c r="L133" s="61">
        <v>9</v>
      </c>
      <c r="M133" s="61">
        <v>9</v>
      </c>
      <c r="N133" s="61">
        <v>9</v>
      </c>
      <c r="O133" s="61">
        <v>9</v>
      </c>
      <c r="P133" s="61">
        <v>9</v>
      </c>
      <c r="Q133" s="61">
        <v>9</v>
      </c>
      <c r="R133" s="61">
        <v>9</v>
      </c>
      <c r="S133" s="61">
        <v>9</v>
      </c>
      <c r="T133" s="61">
        <v>9</v>
      </c>
      <c r="U133" s="61">
        <v>9</v>
      </c>
      <c r="V133" s="61">
        <v>9</v>
      </c>
      <c r="W133" s="61">
        <v>9</v>
      </c>
      <c r="X133" s="61">
        <v>9</v>
      </c>
      <c r="Y133" s="61">
        <v>9</v>
      </c>
      <c r="Z133" s="61">
        <v>9</v>
      </c>
      <c r="AA133" s="61">
        <v>9</v>
      </c>
      <c r="AB133" s="61">
        <v>9</v>
      </c>
      <c r="AC133" s="61">
        <v>9</v>
      </c>
      <c r="AD133" s="61">
        <v>9</v>
      </c>
      <c r="AE133" s="61">
        <v>9</v>
      </c>
      <c r="AF133" s="61">
        <v>9</v>
      </c>
      <c r="AG133" s="61">
        <v>9</v>
      </c>
      <c r="AH133" s="61">
        <v>9</v>
      </c>
      <c r="AI133" s="61">
        <v>9</v>
      </c>
      <c r="AJ133" s="61">
        <v>9</v>
      </c>
      <c r="AK133" s="61">
        <v>9</v>
      </c>
      <c r="AL133" s="61">
        <v>9</v>
      </c>
      <c r="AM133" s="61">
        <v>9</v>
      </c>
      <c r="AN133" s="61">
        <v>9</v>
      </c>
      <c r="AO133" s="61">
        <v>9</v>
      </c>
      <c r="AP133" s="61">
        <v>9</v>
      </c>
      <c r="AQ133" s="61">
        <v>9</v>
      </c>
      <c r="AR133" s="61">
        <v>9</v>
      </c>
      <c r="AS133" s="61">
        <v>9</v>
      </c>
      <c r="AT133" s="91">
        <v>6</v>
      </c>
      <c r="AU133" s="91">
        <v>4</v>
      </c>
      <c r="AV133" s="91">
        <v>4</v>
      </c>
      <c r="AW133" s="91">
        <v>9</v>
      </c>
      <c r="AX133" s="91">
        <v>8</v>
      </c>
      <c r="AY133" s="91">
        <v>8</v>
      </c>
      <c r="AZ133" s="91">
        <v>8</v>
      </c>
      <c r="BA133" s="91">
        <v>8</v>
      </c>
      <c r="BB133" s="91">
        <v>8</v>
      </c>
      <c r="BC133" s="91">
        <v>7</v>
      </c>
      <c r="BD133" s="91">
        <v>9</v>
      </c>
      <c r="BE133" s="91">
        <v>8</v>
      </c>
      <c r="BF133" s="91">
        <v>8</v>
      </c>
      <c r="BG133" s="91">
        <v>8</v>
      </c>
      <c r="BH133" s="91">
        <v>4</v>
      </c>
      <c r="BI133" s="91">
        <v>4</v>
      </c>
      <c r="BJ133" s="91">
        <v>4</v>
      </c>
      <c r="BK133" s="91">
        <v>9</v>
      </c>
      <c r="BL133" s="91">
        <v>9</v>
      </c>
      <c r="BM133" s="91">
        <v>7</v>
      </c>
      <c r="BN133" s="91">
        <v>9</v>
      </c>
      <c r="BO133" s="91">
        <v>7</v>
      </c>
      <c r="BP133" s="91">
        <v>7</v>
      </c>
      <c r="BQ133" s="91">
        <v>7</v>
      </c>
      <c r="BR133" s="91">
        <v>7</v>
      </c>
      <c r="BS133" s="91">
        <v>7</v>
      </c>
      <c r="BT133" s="91">
        <v>7</v>
      </c>
    </row>
    <row r="134" spans="1:72" x14ac:dyDescent="0.2">
      <c r="G134" s="23">
        <v>100</v>
      </c>
      <c r="H134" s="61">
        <f>H35*-1</f>
        <v>10</v>
      </c>
      <c r="I134" s="61">
        <f t="shared" ref="I134:AQ134" si="123">I35*-1</f>
        <v>10</v>
      </c>
      <c r="J134" s="61">
        <f t="shared" si="123"/>
        <v>10</v>
      </c>
      <c r="K134" s="61">
        <f t="shared" si="123"/>
        <v>10</v>
      </c>
      <c r="L134" s="61">
        <f t="shared" si="123"/>
        <v>10</v>
      </c>
      <c r="M134" s="61">
        <f t="shared" si="123"/>
        <v>10</v>
      </c>
      <c r="N134" s="61">
        <f t="shared" si="123"/>
        <v>10</v>
      </c>
      <c r="O134" s="61">
        <f t="shared" si="123"/>
        <v>10</v>
      </c>
      <c r="P134" s="61">
        <f t="shared" si="123"/>
        <v>10</v>
      </c>
      <c r="Q134" s="61">
        <f t="shared" si="123"/>
        <v>10</v>
      </c>
      <c r="R134" s="61">
        <f t="shared" si="123"/>
        <v>10</v>
      </c>
      <c r="S134" s="61">
        <f t="shared" si="123"/>
        <v>10</v>
      </c>
      <c r="T134" s="61">
        <f t="shared" si="123"/>
        <v>10</v>
      </c>
      <c r="U134" s="61">
        <f t="shared" si="123"/>
        <v>10</v>
      </c>
      <c r="V134" s="61">
        <f t="shared" si="123"/>
        <v>10</v>
      </c>
      <c r="W134" s="61">
        <f t="shared" si="123"/>
        <v>10</v>
      </c>
      <c r="X134" s="61">
        <f t="shared" si="123"/>
        <v>10</v>
      </c>
      <c r="Y134" s="61">
        <f t="shared" si="123"/>
        <v>10</v>
      </c>
      <c r="Z134" s="61">
        <f t="shared" si="123"/>
        <v>10</v>
      </c>
      <c r="AA134" s="61">
        <f t="shared" si="123"/>
        <v>10</v>
      </c>
      <c r="AB134" s="61">
        <f t="shared" si="123"/>
        <v>10</v>
      </c>
      <c r="AC134" s="61">
        <f t="shared" si="123"/>
        <v>10</v>
      </c>
      <c r="AD134" s="61">
        <f t="shared" si="123"/>
        <v>10</v>
      </c>
      <c r="AE134" s="61">
        <f t="shared" si="123"/>
        <v>10</v>
      </c>
      <c r="AF134" s="61">
        <f t="shared" si="123"/>
        <v>10</v>
      </c>
      <c r="AG134" s="61">
        <f t="shared" si="123"/>
        <v>10</v>
      </c>
      <c r="AH134" s="61">
        <f t="shared" si="123"/>
        <v>10</v>
      </c>
      <c r="AI134" s="61">
        <f t="shared" si="123"/>
        <v>10</v>
      </c>
      <c r="AJ134" s="61">
        <f t="shared" si="123"/>
        <v>10</v>
      </c>
      <c r="AK134" s="61">
        <f t="shared" si="123"/>
        <v>10</v>
      </c>
      <c r="AL134" s="61">
        <f t="shared" si="123"/>
        <v>10</v>
      </c>
      <c r="AM134" s="61">
        <f t="shared" si="123"/>
        <v>10</v>
      </c>
      <c r="AN134" s="61">
        <f t="shared" si="123"/>
        <v>10</v>
      </c>
      <c r="AO134" s="61">
        <f t="shared" si="123"/>
        <v>10</v>
      </c>
      <c r="AP134" s="61">
        <f t="shared" si="123"/>
        <v>10</v>
      </c>
      <c r="AQ134" s="61">
        <f t="shared" si="123"/>
        <v>10</v>
      </c>
      <c r="AR134" s="61">
        <f>AR35*-1</f>
        <v>10</v>
      </c>
      <c r="AS134" s="61">
        <f t="shared" ref="AS134" si="124">AS35*-1</f>
        <v>10</v>
      </c>
      <c r="AT134" s="91">
        <v>7</v>
      </c>
      <c r="AU134" s="91">
        <v>5</v>
      </c>
      <c r="AV134" s="91">
        <v>5</v>
      </c>
      <c r="AW134" s="91">
        <v>10</v>
      </c>
      <c r="AX134" s="91">
        <v>9</v>
      </c>
      <c r="AY134" s="91">
        <v>9</v>
      </c>
      <c r="AZ134" s="91">
        <v>9</v>
      </c>
      <c r="BA134" s="91">
        <v>9</v>
      </c>
      <c r="BB134" s="91">
        <v>9</v>
      </c>
      <c r="BC134" s="91">
        <v>8</v>
      </c>
      <c r="BD134" s="91">
        <v>10</v>
      </c>
      <c r="BE134" s="91">
        <v>9</v>
      </c>
      <c r="BF134" s="91">
        <v>9</v>
      </c>
      <c r="BG134" s="91">
        <v>9</v>
      </c>
      <c r="BH134" s="91">
        <v>5</v>
      </c>
      <c r="BI134" s="91">
        <v>5</v>
      </c>
      <c r="BJ134" s="91">
        <v>5</v>
      </c>
      <c r="BK134" s="91">
        <v>10</v>
      </c>
      <c r="BL134" s="91">
        <v>10</v>
      </c>
      <c r="BM134" s="91">
        <v>8</v>
      </c>
      <c r="BN134" s="91">
        <v>10</v>
      </c>
      <c r="BO134" s="91">
        <v>8</v>
      </c>
      <c r="BP134" s="91">
        <v>8</v>
      </c>
      <c r="BQ134" s="91">
        <v>8</v>
      </c>
      <c r="BR134" s="91">
        <v>8</v>
      </c>
      <c r="BS134" s="91">
        <v>8</v>
      </c>
      <c r="BT134" s="23">
        <v>8</v>
      </c>
    </row>
    <row r="135" spans="1:72" x14ac:dyDescent="0.2">
      <c r="A135" s="12" t="str">
        <f>VLOOKUP(B38,A123:C133,3)</f>
        <v>medium</v>
      </c>
      <c r="B135" s="12" t="str">
        <f>VLOOKUP((Stats!B3*100/2.54),HW!B123:C133,2)</f>
        <v>medium</v>
      </c>
      <c r="AT135" s="67"/>
      <c r="AU135" s="67"/>
      <c r="AV135" s="67"/>
      <c r="AW135" s="67"/>
      <c r="AX135" s="67"/>
      <c r="AY135" s="67"/>
      <c r="AZ135" s="67"/>
      <c r="BA135" s="67"/>
      <c r="BB135" s="67"/>
      <c r="BC135" s="67"/>
      <c r="BD135" s="67"/>
      <c r="BE135" s="67"/>
      <c r="BF135" s="67"/>
      <c r="BG135" s="67"/>
      <c r="BH135" s="67"/>
      <c r="BI135" s="67"/>
      <c r="BJ135" s="67"/>
      <c r="BK135" s="67"/>
      <c r="BL135" s="67"/>
      <c r="BM135" s="67"/>
      <c r="BN135" s="67"/>
      <c r="BO135" s="67"/>
      <c r="BP135" s="67"/>
    </row>
    <row r="136" spans="1:72" x14ac:dyDescent="0.2">
      <c r="AT136" s="67"/>
      <c r="AU136" s="67"/>
      <c r="AV136" s="67"/>
      <c r="AW136" s="67"/>
      <c r="AX136" s="67"/>
      <c r="AY136" s="67"/>
      <c r="AZ136" s="67"/>
      <c r="BA136" s="67"/>
      <c r="BB136" s="67"/>
      <c r="BC136" s="67"/>
      <c r="BD136" s="67"/>
      <c r="BE136" s="67"/>
      <c r="BF136" s="67"/>
      <c r="BG136" s="67"/>
      <c r="BH136" s="67"/>
      <c r="BI136" s="67"/>
      <c r="BJ136" s="67"/>
      <c r="BK136" s="67"/>
      <c r="BL136" s="67"/>
      <c r="BM136" s="67"/>
      <c r="BN136" s="67"/>
      <c r="BO136" s="67"/>
      <c r="BP136" s="67"/>
    </row>
    <row r="137" spans="1:72" x14ac:dyDescent="0.2">
      <c r="AT137" s="67"/>
      <c r="AU137" s="67"/>
      <c r="AV137" s="67"/>
      <c r="AW137" s="67"/>
      <c r="AX137" s="67"/>
      <c r="AY137" s="67"/>
      <c r="AZ137" s="67"/>
      <c r="BA137" s="67"/>
      <c r="BB137" s="67"/>
      <c r="BC137" s="67"/>
      <c r="BD137" s="67"/>
      <c r="BE137" s="67"/>
      <c r="BF137" s="67"/>
      <c r="BG137" s="67"/>
      <c r="BH137" s="67"/>
      <c r="BI137" s="67"/>
      <c r="BJ137" s="67"/>
      <c r="BK137" s="67"/>
      <c r="BL137" s="67"/>
      <c r="BM137" s="67"/>
      <c r="BN137" s="67"/>
      <c r="BO137" s="67"/>
      <c r="BP137" s="67"/>
    </row>
    <row r="138" spans="1:72" x14ac:dyDescent="0.2">
      <c r="AT138" s="67"/>
      <c r="AU138" s="67"/>
      <c r="AV138" s="67"/>
      <c r="AW138" s="67"/>
      <c r="AX138" s="67"/>
      <c r="AY138" s="67"/>
      <c r="AZ138" s="67"/>
      <c r="BA138" s="67"/>
      <c r="BB138" s="67"/>
      <c r="BC138" s="67"/>
      <c r="BD138" s="67"/>
      <c r="BE138" s="67"/>
      <c r="BF138" s="67"/>
      <c r="BG138" s="67"/>
      <c r="BH138" s="67"/>
      <c r="BI138" s="67"/>
      <c r="BJ138" s="67"/>
      <c r="BK138" s="67"/>
      <c r="BL138" s="67"/>
      <c r="BM138" s="67"/>
      <c r="BN138" s="67"/>
      <c r="BO138" s="67"/>
      <c r="BP138" s="67"/>
    </row>
    <row r="139" spans="1:72" x14ac:dyDescent="0.2">
      <c r="G139" s="23">
        <v>1</v>
      </c>
      <c r="H139" s="23">
        <v>2</v>
      </c>
      <c r="I139" s="61">
        <v>3</v>
      </c>
      <c r="J139" s="23">
        <v>4</v>
      </c>
      <c r="K139" s="61">
        <v>5</v>
      </c>
      <c r="L139" s="23">
        <v>6</v>
      </c>
      <c r="M139" s="61">
        <v>7</v>
      </c>
      <c r="N139" s="23">
        <v>8</v>
      </c>
      <c r="O139" s="61">
        <v>9</v>
      </c>
      <c r="P139" s="23">
        <v>10</v>
      </c>
      <c r="Q139" s="61">
        <v>11</v>
      </c>
      <c r="R139" s="23">
        <v>12</v>
      </c>
      <c r="S139" s="61">
        <v>13</v>
      </c>
      <c r="T139" s="23">
        <v>14</v>
      </c>
      <c r="U139" s="61">
        <v>15</v>
      </c>
      <c r="V139" s="23">
        <v>16</v>
      </c>
      <c r="W139" s="61">
        <v>17</v>
      </c>
      <c r="X139" s="23">
        <v>18</v>
      </c>
      <c r="Y139" s="12">
        <v>19</v>
      </c>
      <c r="Z139" s="12">
        <v>20</v>
      </c>
      <c r="AA139" s="12">
        <v>21</v>
      </c>
      <c r="AB139" s="12">
        <v>22</v>
      </c>
      <c r="AC139" s="12">
        <v>23</v>
      </c>
      <c r="AD139" s="12">
        <v>24</v>
      </c>
      <c r="AE139" s="12">
        <v>25</v>
      </c>
      <c r="AF139" s="12">
        <v>26</v>
      </c>
      <c r="AG139" s="12">
        <v>27</v>
      </c>
      <c r="AH139" s="12">
        <v>28</v>
      </c>
      <c r="AI139" s="12">
        <v>29</v>
      </c>
      <c r="AJ139" s="12">
        <v>30</v>
      </c>
      <c r="AK139" s="12">
        <v>31</v>
      </c>
      <c r="AL139" s="12">
        <v>32</v>
      </c>
      <c r="AM139" s="12">
        <v>33</v>
      </c>
      <c r="AN139" s="12">
        <v>34</v>
      </c>
      <c r="AO139" s="12">
        <v>35</v>
      </c>
      <c r="AP139" s="12">
        <v>36</v>
      </c>
      <c r="AQ139" s="12">
        <v>37</v>
      </c>
      <c r="AR139" s="12">
        <v>38</v>
      </c>
      <c r="AS139" s="12">
        <v>39</v>
      </c>
      <c r="AT139" s="12">
        <v>40</v>
      </c>
      <c r="AU139" s="12">
        <v>41</v>
      </c>
      <c r="AV139" s="12">
        <v>42</v>
      </c>
      <c r="AW139" s="12">
        <v>43</v>
      </c>
      <c r="AX139" s="12">
        <v>44</v>
      </c>
      <c r="AY139" s="12">
        <v>45</v>
      </c>
      <c r="AZ139" s="12">
        <v>46</v>
      </c>
      <c r="BA139" s="12">
        <v>47</v>
      </c>
      <c r="BB139" s="12">
        <v>48</v>
      </c>
      <c r="BC139" s="12">
        <v>49</v>
      </c>
      <c r="BD139" s="12">
        <v>50</v>
      </c>
      <c r="BE139" s="12">
        <v>51</v>
      </c>
      <c r="BF139" s="12">
        <v>52</v>
      </c>
      <c r="BG139" s="12">
        <v>53</v>
      </c>
      <c r="BH139" s="12">
        <v>54</v>
      </c>
      <c r="BI139" s="12">
        <v>55</v>
      </c>
      <c r="BJ139" s="12">
        <v>56</v>
      </c>
      <c r="BK139" s="12">
        <v>57</v>
      </c>
      <c r="BL139" s="12">
        <v>58</v>
      </c>
      <c r="BM139" s="12">
        <v>59</v>
      </c>
      <c r="BN139" s="12">
        <v>60</v>
      </c>
      <c r="BO139" s="12">
        <v>61</v>
      </c>
      <c r="BP139" s="67">
        <v>62</v>
      </c>
      <c r="BQ139" s="12">
        <v>63</v>
      </c>
      <c r="BR139" s="12">
        <v>64</v>
      </c>
      <c r="BS139" s="12">
        <v>64</v>
      </c>
      <c r="BT139" s="12">
        <v>65</v>
      </c>
    </row>
    <row r="140" spans="1:72" x14ac:dyDescent="0.2">
      <c r="H140" s="77" t="s">
        <v>4050</v>
      </c>
      <c r="I140" s="77" t="s">
        <v>4247</v>
      </c>
      <c r="J140" s="77" t="s">
        <v>4064</v>
      </c>
      <c r="K140" s="77" t="s">
        <v>4056</v>
      </c>
      <c r="L140" s="77" t="s">
        <v>4057</v>
      </c>
      <c r="M140" s="77" t="s">
        <v>894</v>
      </c>
      <c r="N140" s="77" t="s">
        <v>4063</v>
      </c>
      <c r="O140" s="77" t="s">
        <v>4052</v>
      </c>
      <c r="P140" s="77" t="s">
        <v>4062</v>
      </c>
      <c r="Q140" s="77" t="s">
        <v>958</v>
      </c>
      <c r="R140" s="77" t="s">
        <v>957</v>
      </c>
      <c r="S140" s="77" t="s">
        <v>4065</v>
      </c>
      <c r="T140" s="77" t="s">
        <v>4215</v>
      </c>
      <c r="U140" s="77" t="s">
        <v>4227</v>
      </c>
      <c r="V140" s="77" t="s">
        <v>4226</v>
      </c>
      <c r="W140" s="77" t="s">
        <v>4066</v>
      </c>
      <c r="X140" s="77" t="s">
        <v>880</v>
      </c>
      <c r="Y140" s="77" t="s">
        <v>1038</v>
      </c>
      <c r="Z140" s="77" t="s">
        <v>4067</v>
      </c>
      <c r="AA140" s="77" t="s">
        <v>4225</v>
      </c>
      <c r="AB140" s="77" t="s">
        <v>4058</v>
      </c>
      <c r="AC140" s="77" t="s">
        <v>4254</v>
      </c>
      <c r="AD140" s="77" t="s">
        <v>4259</v>
      </c>
      <c r="AE140" s="77" t="s">
        <v>4041</v>
      </c>
      <c r="AF140" s="77" t="s">
        <v>4230</v>
      </c>
      <c r="AG140" s="77" t="s">
        <v>4059</v>
      </c>
      <c r="AH140" s="77" t="s">
        <v>4068</v>
      </c>
      <c r="AI140" s="77" t="s">
        <v>4060</v>
      </c>
      <c r="AJ140" s="77" t="s">
        <v>4054</v>
      </c>
      <c r="AK140" s="77" t="s">
        <v>4069</v>
      </c>
      <c r="AL140" s="77" t="s">
        <v>4237</v>
      </c>
      <c r="AM140" s="77" t="s">
        <v>4040</v>
      </c>
      <c r="AN140" s="77" t="s">
        <v>4061</v>
      </c>
      <c r="AO140" s="77" t="s">
        <v>4070</v>
      </c>
      <c r="AP140" s="77" t="s">
        <v>4243</v>
      </c>
      <c r="AQ140" s="77" t="s">
        <v>4071</v>
      </c>
      <c r="AR140" s="77" t="s">
        <v>4049</v>
      </c>
      <c r="AS140" s="77" t="s">
        <v>4042</v>
      </c>
      <c r="AT140" s="67" t="s">
        <v>876</v>
      </c>
      <c r="AU140" s="67" t="s">
        <v>5474</v>
      </c>
      <c r="AV140" s="67" t="s">
        <v>877</v>
      </c>
      <c r="AW140" s="67" t="s">
        <v>941</v>
      </c>
      <c r="AX140" s="67" t="s">
        <v>3481</v>
      </c>
      <c r="AY140" s="67" t="s">
        <v>881</v>
      </c>
      <c r="AZ140" s="67" t="s">
        <v>888</v>
      </c>
      <c r="BA140" s="67" t="s">
        <v>1015</v>
      </c>
      <c r="BB140" s="67" t="s">
        <v>917</v>
      </c>
      <c r="BC140" s="67" t="s">
        <v>4916</v>
      </c>
      <c r="BD140" s="67" t="s">
        <v>992</v>
      </c>
      <c r="BE140" s="67" t="s">
        <v>956</v>
      </c>
      <c r="BF140" s="67" t="s">
        <v>892</v>
      </c>
      <c r="BG140" s="67" t="s">
        <v>887</v>
      </c>
      <c r="BH140" s="67" t="s">
        <v>879</v>
      </c>
      <c r="BI140" s="67" t="s">
        <v>878</v>
      </c>
      <c r="BJ140" s="67" t="s">
        <v>1034</v>
      </c>
      <c r="BK140" s="67" t="s">
        <v>942</v>
      </c>
      <c r="BL140" s="67" t="s">
        <v>943</v>
      </c>
      <c r="BM140" s="67" t="s">
        <v>1130</v>
      </c>
      <c r="BN140" s="67" t="s">
        <v>3483</v>
      </c>
      <c r="BO140" s="67" t="s">
        <v>3484</v>
      </c>
      <c r="BP140" s="67" t="s">
        <v>959</v>
      </c>
      <c r="BQ140" s="12" t="s">
        <v>963</v>
      </c>
      <c r="BR140" s="12" t="s">
        <v>960</v>
      </c>
      <c r="BS140" s="12" t="s">
        <v>962</v>
      </c>
      <c r="BT140" s="12" t="s">
        <v>964</v>
      </c>
    </row>
    <row r="141" spans="1:72" x14ac:dyDescent="0.2">
      <c r="B141" s="12">
        <f>Stats!B3*100/2.54</f>
        <v>69.055118110236236</v>
      </c>
      <c r="G141" s="12" t="s">
        <v>3508</v>
      </c>
      <c r="H141" s="12">
        <f t="shared" ref="H141:O142" si="125">(H154+H156)/2</f>
        <v>5.5</v>
      </c>
      <c r="I141" s="12">
        <f t="shared" si="125"/>
        <v>5</v>
      </c>
      <c r="J141" s="12">
        <f t="shared" si="125"/>
        <v>5</v>
      </c>
      <c r="K141" s="12">
        <f t="shared" si="125"/>
        <v>5</v>
      </c>
      <c r="L141" s="12">
        <f t="shared" si="125"/>
        <v>5.5</v>
      </c>
      <c r="M141" s="12">
        <f t="shared" si="125"/>
        <v>6</v>
      </c>
      <c r="N141" s="12">
        <f t="shared" si="125"/>
        <v>5</v>
      </c>
      <c r="O141" s="12">
        <f t="shared" si="125"/>
        <v>3</v>
      </c>
      <c r="P141" s="12">
        <f>(P154+P156)/2</f>
        <v>6</v>
      </c>
      <c r="Q141" s="12">
        <f t="shared" ref="Q141:AS142" si="126">(Q154+Q156)/2</f>
        <v>4.5</v>
      </c>
      <c r="R141" s="12">
        <f t="shared" si="126"/>
        <v>4.5</v>
      </c>
      <c r="S141" s="12">
        <f t="shared" si="126"/>
        <v>5</v>
      </c>
      <c r="T141" s="12">
        <f t="shared" si="126"/>
        <v>2</v>
      </c>
      <c r="U141" s="12">
        <f t="shared" si="126"/>
        <v>2.5</v>
      </c>
      <c r="V141" s="12">
        <f t="shared" si="126"/>
        <v>4</v>
      </c>
      <c r="W141" s="12">
        <f t="shared" si="126"/>
        <v>5</v>
      </c>
      <c r="X141" s="12">
        <f t="shared" si="126"/>
        <v>5.5</v>
      </c>
      <c r="Y141" s="12">
        <f t="shared" si="126"/>
        <v>5.5</v>
      </c>
      <c r="Z141" s="12">
        <f t="shared" si="126"/>
        <v>5</v>
      </c>
      <c r="AA141" s="12">
        <f t="shared" si="126"/>
        <v>3.5</v>
      </c>
      <c r="AB141" s="12">
        <f t="shared" si="126"/>
        <v>5.5</v>
      </c>
      <c r="AC141" s="12">
        <f t="shared" si="126"/>
        <v>5.5</v>
      </c>
      <c r="AD141" s="12">
        <f t="shared" si="126"/>
        <v>2.5</v>
      </c>
      <c r="AE141" s="12">
        <f t="shared" si="126"/>
        <v>5.5</v>
      </c>
      <c r="AF141" s="12">
        <f t="shared" si="126"/>
        <v>4</v>
      </c>
      <c r="AG141" s="12">
        <f t="shared" si="126"/>
        <v>5</v>
      </c>
      <c r="AH141" s="12">
        <f t="shared" si="126"/>
        <v>5.5</v>
      </c>
      <c r="AI141" s="12">
        <f t="shared" si="126"/>
        <v>5</v>
      </c>
      <c r="AJ141" s="12">
        <f t="shared" si="126"/>
        <v>3</v>
      </c>
      <c r="AK141" s="12">
        <f t="shared" si="126"/>
        <v>5</v>
      </c>
      <c r="AL141" s="12">
        <f t="shared" si="126"/>
        <v>2.5</v>
      </c>
      <c r="AM141" s="12">
        <f t="shared" si="126"/>
        <v>5.5</v>
      </c>
      <c r="AN141" s="12">
        <f t="shared" si="126"/>
        <v>5</v>
      </c>
      <c r="AO141" s="12">
        <f t="shared" si="126"/>
        <v>5</v>
      </c>
      <c r="AP141" s="12">
        <f t="shared" si="126"/>
        <v>4.5</v>
      </c>
      <c r="AQ141" s="12">
        <f t="shared" si="126"/>
        <v>5</v>
      </c>
      <c r="AR141" s="12">
        <f t="shared" si="126"/>
        <v>5.5</v>
      </c>
      <c r="AS141" s="12">
        <f t="shared" si="126"/>
        <v>5.5</v>
      </c>
      <c r="AT141" s="67">
        <v>4</v>
      </c>
      <c r="AU141" s="67">
        <v>6</v>
      </c>
      <c r="AV141" s="67">
        <v>6</v>
      </c>
      <c r="AW141" s="67">
        <v>3</v>
      </c>
      <c r="AX141" s="67">
        <v>5</v>
      </c>
      <c r="AY141" s="67">
        <v>6</v>
      </c>
      <c r="AZ141" s="67">
        <v>5</v>
      </c>
      <c r="BA141" s="67">
        <v>5</v>
      </c>
      <c r="BB141" s="67">
        <v>6</v>
      </c>
      <c r="BC141" s="67">
        <v>4</v>
      </c>
      <c r="BD141" s="67">
        <v>11</v>
      </c>
      <c r="BE141" s="67">
        <v>4</v>
      </c>
      <c r="BF141" s="67">
        <v>4</v>
      </c>
      <c r="BG141" s="67">
        <v>5</v>
      </c>
      <c r="BH141" s="67">
        <v>6</v>
      </c>
      <c r="BI141" s="67">
        <v>6</v>
      </c>
      <c r="BJ141" s="67">
        <v>6</v>
      </c>
      <c r="BK141" s="67">
        <v>3</v>
      </c>
      <c r="BL141" s="67">
        <v>3</v>
      </c>
      <c r="BM141" s="67">
        <v>5</v>
      </c>
      <c r="BN141" s="67">
        <v>7</v>
      </c>
      <c r="BO141" s="67">
        <v>5</v>
      </c>
      <c r="BP141" s="67">
        <v>12</v>
      </c>
      <c r="BQ141" s="12">
        <v>9</v>
      </c>
      <c r="BR141" s="12">
        <v>11</v>
      </c>
      <c r="BS141" s="12">
        <v>10</v>
      </c>
      <c r="BT141" s="12">
        <v>9</v>
      </c>
    </row>
    <row r="142" spans="1:72" x14ac:dyDescent="0.2">
      <c r="G142" s="12" t="s">
        <v>3509</v>
      </c>
      <c r="H142" s="12">
        <f t="shared" si="125"/>
        <v>3</v>
      </c>
      <c r="I142" s="12">
        <f t="shared" si="125"/>
        <v>6</v>
      </c>
      <c r="J142" s="12">
        <f t="shared" si="125"/>
        <v>8</v>
      </c>
      <c r="K142" s="12">
        <f t="shared" si="125"/>
        <v>7</v>
      </c>
      <c r="L142" s="12">
        <f t="shared" si="125"/>
        <v>3</v>
      </c>
      <c r="M142" s="12">
        <f t="shared" si="125"/>
        <v>2.5</v>
      </c>
      <c r="N142" s="12">
        <f t="shared" si="125"/>
        <v>8</v>
      </c>
      <c r="O142" s="12">
        <f t="shared" si="125"/>
        <v>3</v>
      </c>
      <c r="P142" s="12">
        <f>(P155+P157)/2</f>
        <v>5</v>
      </c>
      <c r="Q142" s="12">
        <f t="shared" si="126"/>
        <v>6</v>
      </c>
      <c r="R142" s="12">
        <f t="shared" si="126"/>
        <v>6</v>
      </c>
      <c r="S142" s="12">
        <f t="shared" si="126"/>
        <v>10</v>
      </c>
      <c r="T142" s="12">
        <f t="shared" si="126"/>
        <v>5.5</v>
      </c>
      <c r="U142" s="12">
        <f t="shared" si="126"/>
        <v>8</v>
      </c>
      <c r="V142" s="12">
        <f t="shared" si="126"/>
        <v>5</v>
      </c>
      <c r="W142" s="12">
        <f t="shared" si="126"/>
        <v>6</v>
      </c>
      <c r="X142" s="12">
        <f t="shared" si="126"/>
        <v>3.5</v>
      </c>
      <c r="Y142" s="12">
        <f t="shared" si="126"/>
        <v>6.5</v>
      </c>
      <c r="Z142" s="12">
        <f t="shared" si="126"/>
        <v>8</v>
      </c>
      <c r="AA142" s="12">
        <f t="shared" si="126"/>
        <v>8</v>
      </c>
      <c r="AB142" s="12">
        <f t="shared" si="126"/>
        <v>4</v>
      </c>
      <c r="AC142" s="12">
        <f t="shared" si="126"/>
        <v>4.5</v>
      </c>
      <c r="AD142" s="12">
        <f t="shared" si="126"/>
        <v>7</v>
      </c>
      <c r="AE142" s="12">
        <f t="shared" si="126"/>
        <v>3</v>
      </c>
      <c r="AF142" s="12">
        <f t="shared" si="126"/>
        <v>7</v>
      </c>
      <c r="AG142" s="12">
        <f t="shared" si="126"/>
        <v>9</v>
      </c>
      <c r="AH142" s="12">
        <f t="shared" si="126"/>
        <v>1</v>
      </c>
      <c r="AI142" s="12">
        <f t="shared" si="126"/>
        <v>6</v>
      </c>
      <c r="AJ142" s="12">
        <f t="shared" si="126"/>
        <v>5</v>
      </c>
      <c r="AK142" s="12">
        <f t="shared" si="126"/>
        <v>8</v>
      </c>
      <c r="AL142" s="12">
        <f t="shared" si="126"/>
        <v>8</v>
      </c>
      <c r="AM142" s="12">
        <f t="shared" si="126"/>
        <v>3</v>
      </c>
      <c r="AN142" s="12">
        <f t="shared" si="126"/>
        <v>8</v>
      </c>
      <c r="AO142" s="12">
        <f t="shared" si="126"/>
        <v>10</v>
      </c>
      <c r="AP142" s="12">
        <f t="shared" si="126"/>
        <v>2</v>
      </c>
      <c r="AQ142" s="12">
        <f t="shared" si="126"/>
        <v>10</v>
      </c>
      <c r="AR142" s="12">
        <f t="shared" si="126"/>
        <v>3</v>
      </c>
      <c r="AS142" s="12">
        <f t="shared" si="126"/>
        <v>3</v>
      </c>
      <c r="AT142" s="67">
        <v>9</v>
      </c>
      <c r="AU142" s="67">
        <v>4</v>
      </c>
      <c r="AV142" s="67">
        <v>7</v>
      </c>
      <c r="AW142" s="67">
        <v>5</v>
      </c>
      <c r="AX142" s="67">
        <v>10</v>
      </c>
      <c r="AY142" s="67">
        <v>1</v>
      </c>
      <c r="AZ142" s="67">
        <v>6</v>
      </c>
      <c r="BA142" s="67">
        <v>5</v>
      </c>
      <c r="BB142" s="67">
        <v>3</v>
      </c>
      <c r="BC142" s="67">
        <v>0</v>
      </c>
      <c r="BD142" s="67">
        <v>0</v>
      </c>
      <c r="BE142" s="67">
        <v>9</v>
      </c>
      <c r="BF142" s="67">
        <v>9</v>
      </c>
      <c r="BG142" s="67">
        <v>5</v>
      </c>
      <c r="BH142" s="67">
        <v>5</v>
      </c>
      <c r="BI142" s="67">
        <v>0</v>
      </c>
      <c r="BJ142" s="67">
        <v>3</v>
      </c>
      <c r="BK142" s="67">
        <v>7</v>
      </c>
      <c r="BL142" s="67">
        <v>9</v>
      </c>
      <c r="BM142" s="67">
        <v>6</v>
      </c>
      <c r="BN142" s="67">
        <v>1</v>
      </c>
      <c r="BO142" s="67">
        <v>8</v>
      </c>
      <c r="BP142" s="67">
        <v>0</v>
      </c>
      <c r="BQ142" s="12">
        <v>0</v>
      </c>
      <c r="BR142" s="12">
        <v>0</v>
      </c>
      <c r="BS142" s="12">
        <v>6</v>
      </c>
      <c r="BT142" s="12">
        <v>1</v>
      </c>
    </row>
    <row r="143" spans="1:72" x14ac:dyDescent="0.2">
      <c r="G143" s="12" t="s">
        <v>3510</v>
      </c>
      <c r="H143" s="12">
        <f t="shared" ref="H143:BT143" si="127">H141*0.3+H142*0.0254</f>
        <v>1.7262</v>
      </c>
      <c r="I143" s="12">
        <f t="shared" si="127"/>
        <v>1.6524000000000001</v>
      </c>
      <c r="J143" s="12">
        <f t="shared" si="127"/>
        <v>1.7032</v>
      </c>
      <c r="K143" s="12">
        <f t="shared" si="127"/>
        <v>1.6778</v>
      </c>
      <c r="L143" s="12">
        <f t="shared" si="127"/>
        <v>1.7262</v>
      </c>
      <c r="M143" s="12">
        <f t="shared" si="127"/>
        <v>1.8634999999999997</v>
      </c>
      <c r="N143" s="12">
        <f t="shared" si="127"/>
        <v>1.7032</v>
      </c>
      <c r="O143" s="12">
        <f t="shared" si="127"/>
        <v>0.97619999999999996</v>
      </c>
      <c r="P143" s="12">
        <f t="shared" si="127"/>
        <v>1.9269999999999998</v>
      </c>
      <c r="Q143" s="12">
        <f t="shared" si="127"/>
        <v>1.5023999999999997</v>
      </c>
      <c r="R143" s="12">
        <f t="shared" si="127"/>
        <v>1.5023999999999997</v>
      </c>
      <c r="S143" s="12">
        <f t="shared" si="127"/>
        <v>1.754</v>
      </c>
      <c r="T143" s="12">
        <f t="shared" si="127"/>
        <v>0.73970000000000002</v>
      </c>
      <c r="U143" s="12">
        <f t="shared" si="127"/>
        <v>0.95320000000000005</v>
      </c>
      <c r="V143" s="12">
        <f t="shared" si="127"/>
        <v>1.327</v>
      </c>
      <c r="W143" s="12">
        <f t="shared" si="127"/>
        <v>1.6524000000000001</v>
      </c>
      <c r="X143" s="12">
        <f t="shared" si="127"/>
        <v>1.7388999999999999</v>
      </c>
      <c r="Y143" s="12">
        <f t="shared" si="127"/>
        <v>1.8150999999999999</v>
      </c>
      <c r="Z143" s="12">
        <f t="shared" si="127"/>
        <v>1.7032</v>
      </c>
      <c r="AA143" s="12">
        <f t="shared" si="127"/>
        <v>1.2532000000000001</v>
      </c>
      <c r="AB143" s="12">
        <f t="shared" si="127"/>
        <v>1.7515999999999998</v>
      </c>
      <c r="AC143" s="12">
        <f t="shared" si="127"/>
        <v>1.7643</v>
      </c>
      <c r="AD143" s="12">
        <f t="shared" si="127"/>
        <v>0.92779999999999996</v>
      </c>
      <c r="AE143" s="12">
        <f t="shared" si="127"/>
        <v>1.7262</v>
      </c>
      <c r="AF143" s="12">
        <f t="shared" si="127"/>
        <v>1.3777999999999999</v>
      </c>
      <c r="AG143" s="12">
        <f t="shared" si="127"/>
        <v>1.7285999999999999</v>
      </c>
      <c r="AH143" s="12">
        <f t="shared" si="127"/>
        <v>1.6754</v>
      </c>
      <c r="AI143" s="12">
        <f t="shared" si="127"/>
        <v>1.6524000000000001</v>
      </c>
      <c r="AJ143" s="12">
        <f t="shared" si="127"/>
        <v>1.0269999999999999</v>
      </c>
      <c r="AK143" s="12">
        <f t="shared" si="127"/>
        <v>1.7032</v>
      </c>
      <c r="AL143" s="12">
        <f t="shared" si="127"/>
        <v>0.95320000000000005</v>
      </c>
      <c r="AM143" s="12">
        <f t="shared" si="127"/>
        <v>1.7262</v>
      </c>
      <c r="AN143" s="12">
        <f t="shared" si="127"/>
        <v>1.7032</v>
      </c>
      <c r="AO143" s="12">
        <f t="shared" si="127"/>
        <v>1.754</v>
      </c>
      <c r="AP143" s="12">
        <f t="shared" si="127"/>
        <v>1.4007999999999998</v>
      </c>
      <c r="AQ143" s="12">
        <f t="shared" si="127"/>
        <v>1.754</v>
      </c>
      <c r="AR143" s="12">
        <f t="shared" si="127"/>
        <v>1.7262</v>
      </c>
      <c r="AS143" s="12">
        <f t="shared" si="127"/>
        <v>1.7262</v>
      </c>
      <c r="AT143" s="67">
        <f t="shared" si="127"/>
        <v>1.4285999999999999</v>
      </c>
      <c r="AU143" s="67">
        <f t="shared" si="127"/>
        <v>1.9015999999999997</v>
      </c>
      <c r="AV143" s="67">
        <f t="shared" si="127"/>
        <v>1.9777999999999998</v>
      </c>
      <c r="AW143" s="67">
        <f t="shared" si="127"/>
        <v>1.0269999999999999</v>
      </c>
      <c r="AX143" s="67">
        <f t="shared" si="127"/>
        <v>1.754</v>
      </c>
      <c r="AY143" s="67">
        <f t="shared" si="127"/>
        <v>1.8253999999999999</v>
      </c>
      <c r="AZ143" s="67">
        <f t="shared" si="127"/>
        <v>1.6524000000000001</v>
      </c>
      <c r="BA143" s="67">
        <f t="shared" si="127"/>
        <v>1.627</v>
      </c>
      <c r="BB143" s="67">
        <f t="shared" si="127"/>
        <v>1.8761999999999999</v>
      </c>
      <c r="BC143" s="67">
        <f t="shared" si="127"/>
        <v>1.2</v>
      </c>
      <c r="BD143" s="67">
        <f t="shared" si="127"/>
        <v>3.3</v>
      </c>
      <c r="BE143" s="67">
        <f t="shared" si="127"/>
        <v>1.4285999999999999</v>
      </c>
      <c r="BF143" s="67">
        <f t="shared" si="127"/>
        <v>1.4285999999999999</v>
      </c>
      <c r="BG143" s="67">
        <f t="shared" si="127"/>
        <v>1.627</v>
      </c>
      <c r="BH143" s="67">
        <f t="shared" si="127"/>
        <v>1.9269999999999998</v>
      </c>
      <c r="BI143" s="67">
        <f t="shared" si="127"/>
        <v>1.7999999999999998</v>
      </c>
      <c r="BJ143" s="67">
        <f t="shared" si="127"/>
        <v>1.8761999999999999</v>
      </c>
      <c r="BK143" s="67">
        <f t="shared" si="127"/>
        <v>1.0777999999999999</v>
      </c>
      <c r="BL143" s="67">
        <f t="shared" si="127"/>
        <v>1.1285999999999998</v>
      </c>
      <c r="BM143" s="67">
        <f t="shared" si="127"/>
        <v>1.6524000000000001</v>
      </c>
      <c r="BN143" s="67">
        <f t="shared" si="127"/>
        <v>2.1254</v>
      </c>
      <c r="BO143" s="67">
        <f t="shared" si="127"/>
        <v>1.7032</v>
      </c>
      <c r="BP143" s="67">
        <f t="shared" si="127"/>
        <v>3.5999999999999996</v>
      </c>
      <c r="BQ143" s="67">
        <f t="shared" si="127"/>
        <v>2.6999999999999997</v>
      </c>
      <c r="BR143" s="67">
        <f t="shared" si="127"/>
        <v>3.3</v>
      </c>
      <c r="BS143" s="67">
        <f t="shared" si="127"/>
        <v>3.1524000000000001</v>
      </c>
      <c r="BT143" s="67">
        <f t="shared" si="127"/>
        <v>2.7253999999999996</v>
      </c>
    </row>
    <row r="144" spans="1:72" x14ac:dyDescent="0.2">
      <c r="B144" s="12" t="s">
        <v>3494</v>
      </c>
      <c r="C144" s="12">
        <v>100</v>
      </c>
      <c r="AT144" s="67"/>
      <c r="AU144" s="67"/>
      <c r="AV144" s="67"/>
      <c r="AW144" s="67"/>
      <c r="AX144" s="67"/>
      <c r="AY144" s="67"/>
      <c r="AZ144" s="67"/>
      <c r="BA144" s="67"/>
      <c r="BB144" s="67"/>
      <c r="BC144" s="67"/>
      <c r="BD144" s="67"/>
      <c r="BE144" s="67"/>
      <c r="BF144" s="67"/>
      <c r="BG144" s="67"/>
      <c r="BH144" s="67"/>
      <c r="BI144" s="67"/>
      <c r="BJ144" s="67"/>
      <c r="BK144" s="67"/>
      <c r="BL144" s="67"/>
      <c r="BM144" s="67"/>
      <c r="BN144" s="67"/>
      <c r="BO144" s="67"/>
      <c r="BP144" s="67"/>
    </row>
    <row r="145" spans="2:72" x14ac:dyDescent="0.2">
      <c r="B145" s="12" t="s">
        <v>3495</v>
      </c>
      <c r="C145" s="12">
        <f>C144*12</f>
        <v>1200</v>
      </c>
      <c r="G145" s="12" t="s">
        <v>3496</v>
      </c>
      <c r="H145" s="12">
        <f t="shared" ref="H145:O145" si="128">(H159+H160)/2</f>
        <v>150</v>
      </c>
      <c r="I145" s="12">
        <f t="shared" si="128"/>
        <v>155</v>
      </c>
      <c r="J145" s="12">
        <f t="shared" si="128"/>
        <v>180</v>
      </c>
      <c r="K145" s="12">
        <f t="shared" si="128"/>
        <v>175</v>
      </c>
      <c r="L145" s="12">
        <f t="shared" si="128"/>
        <v>177.5</v>
      </c>
      <c r="M145" s="12">
        <f t="shared" si="128"/>
        <v>260</v>
      </c>
      <c r="N145" s="12">
        <f t="shared" si="128"/>
        <v>170</v>
      </c>
      <c r="O145" s="12">
        <f t="shared" si="128"/>
        <v>42.5</v>
      </c>
      <c r="P145" s="12">
        <f>(P159+P160)/2</f>
        <v>270</v>
      </c>
      <c r="Q145" s="12">
        <f t="shared" ref="Q145:AS145" si="129">(Q159+Q160)/2</f>
        <v>117.5</v>
      </c>
      <c r="R145" s="12">
        <f t="shared" si="129"/>
        <v>117.5</v>
      </c>
      <c r="S145" s="12">
        <f t="shared" si="129"/>
        <v>160</v>
      </c>
      <c r="T145" s="12">
        <f t="shared" si="129"/>
        <v>30.5</v>
      </c>
      <c r="U145" s="12">
        <f t="shared" si="129"/>
        <v>35.5</v>
      </c>
      <c r="V145" s="12">
        <f t="shared" si="129"/>
        <v>190</v>
      </c>
      <c r="W145" s="12">
        <f t="shared" si="129"/>
        <v>155</v>
      </c>
      <c r="X145" s="12">
        <f t="shared" si="129"/>
        <v>160</v>
      </c>
      <c r="Y145" s="12">
        <f t="shared" si="129"/>
        <v>190</v>
      </c>
      <c r="Z145" s="12">
        <f t="shared" si="129"/>
        <v>170</v>
      </c>
      <c r="AA145" s="12">
        <f t="shared" si="129"/>
        <v>180</v>
      </c>
      <c r="AB145" s="12">
        <f t="shared" si="129"/>
        <v>180</v>
      </c>
      <c r="AC145" s="12">
        <f t="shared" si="129"/>
        <v>160</v>
      </c>
      <c r="AD145" s="12">
        <f t="shared" si="129"/>
        <v>35</v>
      </c>
      <c r="AE145" s="12">
        <f t="shared" si="129"/>
        <v>155</v>
      </c>
      <c r="AF145" s="12">
        <f t="shared" si="129"/>
        <v>195</v>
      </c>
      <c r="AG145" s="12">
        <f t="shared" si="129"/>
        <v>170</v>
      </c>
      <c r="AH145" s="12">
        <f t="shared" si="129"/>
        <v>197.5</v>
      </c>
      <c r="AI145" s="12">
        <f t="shared" si="129"/>
        <v>175</v>
      </c>
      <c r="AJ145" s="12">
        <f t="shared" si="129"/>
        <v>45</v>
      </c>
      <c r="AK145" s="12">
        <f t="shared" si="129"/>
        <v>170</v>
      </c>
      <c r="AL145" s="12">
        <f t="shared" si="129"/>
        <v>35.5</v>
      </c>
      <c r="AM145" s="12">
        <f t="shared" si="129"/>
        <v>155</v>
      </c>
      <c r="AN145" s="12">
        <f t="shared" si="129"/>
        <v>172.5</v>
      </c>
      <c r="AO145" s="12">
        <f t="shared" si="129"/>
        <v>190</v>
      </c>
      <c r="AP145" s="12">
        <f t="shared" si="129"/>
        <v>155</v>
      </c>
      <c r="AQ145" s="12">
        <f t="shared" si="129"/>
        <v>160</v>
      </c>
      <c r="AR145" s="12">
        <f t="shared" si="129"/>
        <v>150</v>
      </c>
      <c r="AS145" s="12">
        <f t="shared" si="129"/>
        <v>150</v>
      </c>
      <c r="AT145" s="67">
        <v>150</v>
      </c>
      <c r="AU145" s="67">
        <v>175</v>
      </c>
      <c r="AV145" s="67">
        <v>215</v>
      </c>
      <c r="AW145" s="67">
        <v>54</v>
      </c>
      <c r="AX145" s="67">
        <v>160</v>
      </c>
      <c r="AY145" s="67">
        <v>195</v>
      </c>
      <c r="AZ145" s="67">
        <v>135</v>
      </c>
      <c r="BA145" s="67">
        <v>130</v>
      </c>
      <c r="BB145" s="67">
        <v>215</v>
      </c>
      <c r="BC145" s="67">
        <v>65</v>
      </c>
      <c r="BD145" s="67">
        <v>850</v>
      </c>
      <c r="BE145" s="67">
        <v>145</v>
      </c>
      <c r="BF145" s="67">
        <v>150</v>
      </c>
      <c r="BG145" s="67">
        <v>175</v>
      </c>
      <c r="BH145" s="67">
        <v>190</v>
      </c>
      <c r="BI145" s="67">
        <v>150</v>
      </c>
      <c r="BJ145" s="67">
        <v>190</v>
      </c>
      <c r="BK145" s="67">
        <v>66</v>
      </c>
      <c r="BL145" s="67">
        <v>65</v>
      </c>
      <c r="BM145" s="67">
        <v>145</v>
      </c>
      <c r="BN145" s="67">
        <v>290</v>
      </c>
      <c r="BO145" s="67">
        <v>150</v>
      </c>
      <c r="BP145" s="67">
        <v>1511</v>
      </c>
      <c r="BQ145" s="12">
        <v>638</v>
      </c>
      <c r="BR145" s="12">
        <v>1164</v>
      </c>
      <c r="BS145" s="12">
        <v>850</v>
      </c>
      <c r="BT145" s="12">
        <v>638</v>
      </c>
    </row>
    <row r="146" spans="2:72" x14ac:dyDescent="0.2">
      <c r="G146" s="12" t="s">
        <v>183</v>
      </c>
      <c r="H146" s="12">
        <f t="shared" ref="H146:BT146" si="130">H145*0.45</f>
        <v>67.5</v>
      </c>
      <c r="I146" s="12">
        <f t="shared" si="130"/>
        <v>69.75</v>
      </c>
      <c r="J146" s="12">
        <f t="shared" si="130"/>
        <v>81</v>
      </c>
      <c r="K146" s="12">
        <f t="shared" si="130"/>
        <v>78.75</v>
      </c>
      <c r="L146" s="12">
        <f t="shared" si="130"/>
        <v>79.875</v>
      </c>
      <c r="M146" s="12">
        <f t="shared" si="130"/>
        <v>117</v>
      </c>
      <c r="N146" s="12">
        <f t="shared" si="130"/>
        <v>76.5</v>
      </c>
      <c r="O146" s="12">
        <f t="shared" si="130"/>
        <v>19.125</v>
      </c>
      <c r="P146" s="12">
        <f t="shared" si="130"/>
        <v>121.5</v>
      </c>
      <c r="Q146" s="12">
        <f t="shared" si="130"/>
        <v>52.875</v>
      </c>
      <c r="R146" s="12">
        <f t="shared" si="130"/>
        <v>52.875</v>
      </c>
      <c r="S146" s="12">
        <f t="shared" si="130"/>
        <v>72</v>
      </c>
      <c r="T146" s="12">
        <f t="shared" si="130"/>
        <v>13.725</v>
      </c>
      <c r="U146" s="12">
        <f t="shared" si="130"/>
        <v>15.975</v>
      </c>
      <c r="V146" s="12">
        <f t="shared" si="130"/>
        <v>85.5</v>
      </c>
      <c r="W146" s="12">
        <f t="shared" si="130"/>
        <v>69.75</v>
      </c>
      <c r="X146" s="12">
        <f t="shared" si="130"/>
        <v>72</v>
      </c>
      <c r="Y146" s="12">
        <f t="shared" si="130"/>
        <v>85.5</v>
      </c>
      <c r="Z146" s="12">
        <f t="shared" si="130"/>
        <v>76.5</v>
      </c>
      <c r="AA146" s="12">
        <f t="shared" si="130"/>
        <v>81</v>
      </c>
      <c r="AB146" s="12">
        <f t="shared" si="130"/>
        <v>81</v>
      </c>
      <c r="AC146" s="12">
        <f t="shared" si="130"/>
        <v>72</v>
      </c>
      <c r="AD146" s="12">
        <f t="shared" si="130"/>
        <v>15.75</v>
      </c>
      <c r="AE146" s="12">
        <f t="shared" si="130"/>
        <v>69.75</v>
      </c>
      <c r="AF146" s="12">
        <f t="shared" si="130"/>
        <v>87.75</v>
      </c>
      <c r="AG146" s="12">
        <f t="shared" si="130"/>
        <v>76.5</v>
      </c>
      <c r="AH146" s="12">
        <f t="shared" si="130"/>
        <v>88.875</v>
      </c>
      <c r="AI146" s="12">
        <f t="shared" si="130"/>
        <v>78.75</v>
      </c>
      <c r="AJ146" s="12">
        <f t="shared" si="130"/>
        <v>20.25</v>
      </c>
      <c r="AK146" s="12">
        <f t="shared" si="130"/>
        <v>76.5</v>
      </c>
      <c r="AL146" s="12">
        <f t="shared" si="130"/>
        <v>15.975</v>
      </c>
      <c r="AM146" s="12">
        <f t="shared" si="130"/>
        <v>69.75</v>
      </c>
      <c r="AN146" s="12">
        <f t="shared" si="130"/>
        <v>77.625</v>
      </c>
      <c r="AO146" s="12">
        <f t="shared" si="130"/>
        <v>85.5</v>
      </c>
      <c r="AP146" s="12">
        <f t="shared" si="130"/>
        <v>69.75</v>
      </c>
      <c r="AQ146" s="12">
        <f t="shared" si="130"/>
        <v>72</v>
      </c>
      <c r="AR146" s="12">
        <f t="shared" si="130"/>
        <v>67.5</v>
      </c>
      <c r="AS146" s="12">
        <f t="shared" si="130"/>
        <v>67.5</v>
      </c>
      <c r="AT146" s="67">
        <f t="shared" si="130"/>
        <v>67.5</v>
      </c>
      <c r="AU146" s="67">
        <f t="shared" si="130"/>
        <v>78.75</v>
      </c>
      <c r="AV146" s="67">
        <f t="shared" si="130"/>
        <v>96.75</v>
      </c>
      <c r="AW146" s="67">
        <f t="shared" si="130"/>
        <v>24.3</v>
      </c>
      <c r="AX146" s="67">
        <f t="shared" si="130"/>
        <v>72</v>
      </c>
      <c r="AY146" s="67">
        <f t="shared" si="130"/>
        <v>87.75</v>
      </c>
      <c r="AZ146" s="67">
        <f t="shared" si="130"/>
        <v>60.75</v>
      </c>
      <c r="BA146" s="67">
        <f t="shared" si="130"/>
        <v>58.5</v>
      </c>
      <c r="BB146" s="67">
        <f t="shared" si="130"/>
        <v>96.75</v>
      </c>
      <c r="BC146" s="67">
        <f t="shared" si="130"/>
        <v>29.25</v>
      </c>
      <c r="BD146" s="67">
        <f t="shared" si="130"/>
        <v>382.5</v>
      </c>
      <c r="BE146" s="67">
        <f t="shared" si="130"/>
        <v>65.25</v>
      </c>
      <c r="BF146" s="67">
        <f t="shared" si="130"/>
        <v>67.5</v>
      </c>
      <c r="BG146" s="67">
        <f t="shared" si="130"/>
        <v>78.75</v>
      </c>
      <c r="BH146" s="67">
        <f t="shared" si="130"/>
        <v>85.5</v>
      </c>
      <c r="BI146" s="67">
        <f t="shared" si="130"/>
        <v>67.5</v>
      </c>
      <c r="BJ146" s="67">
        <f t="shared" si="130"/>
        <v>85.5</v>
      </c>
      <c r="BK146" s="67">
        <f t="shared" si="130"/>
        <v>29.7</v>
      </c>
      <c r="BL146" s="67">
        <f t="shared" si="130"/>
        <v>29.25</v>
      </c>
      <c r="BM146" s="67">
        <f t="shared" si="130"/>
        <v>65.25</v>
      </c>
      <c r="BN146" s="67">
        <f t="shared" si="130"/>
        <v>130.5</v>
      </c>
      <c r="BO146" s="67">
        <f t="shared" si="130"/>
        <v>67.5</v>
      </c>
      <c r="BP146" s="67">
        <f t="shared" si="130"/>
        <v>679.95</v>
      </c>
      <c r="BQ146" s="67">
        <f t="shared" si="130"/>
        <v>287.10000000000002</v>
      </c>
      <c r="BR146" s="67">
        <f t="shared" si="130"/>
        <v>523.80000000000007</v>
      </c>
      <c r="BS146" s="67">
        <f t="shared" si="130"/>
        <v>382.5</v>
      </c>
      <c r="BT146" s="67">
        <f t="shared" si="130"/>
        <v>287.10000000000002</v>
      </c>
    </row>
    <row r="147" spans="2:72" x14ac:dyDescent="0.2">
      <c r="AT147" s="67"/>
      <c r="AU147" s="67"/>
      <c r="AV147" s="67"/>
      <c r="AW147" s="67"/>
      <c r="AX147" s="67"/>
      <c r="AY147" s="67"/>
      <c r="AZ147" s="67"/>
      <c r="BA147" s="67"/>
      <c r="BB147" s="67"/>
      <c r="BC147" s="67"/>
      <c r="BD147" s="67"/>
      <c r="BE147" s="67"/>
      <c r="BF147" s="67"/>
      <c r="BG147" s="67"/>
      <c r="BH147" s="67"/>
      <c r="BI147" s="67"/>
      <c r="BJ147" s="67"/>
      <c r="BK147" s="67"/>
      <c r="BL147" s="67"/>
      <c r="BM147" s="67"/>
      <c r="BN147" s="67"/>
      <c r="BO147" s="67"/>
      <c r="BP147" s="67"/>
    </row>
    <row r="148" spans="2:72" x14ac:dyDescent="0.2">
      <c r="G148" s="20" t="s">
        <v>3511</v>
      </c>
      <c r="H148" s="62">
        <f t="shared" ref="H148:BT148" si="131">H146/H143</f>
        <v>39.103232533889468</v>
      </c>
      <c r="I148" s="62">
        <f t="shared" si="131"/>
        <v>42.211328976034856</v>
      </c>
      <c r="J148" s="62">
        <f t="shared" si="131"/>
        <v>47.557538750587128</v>
      </c>
      <c r="K148" s="62">
        <f t="shared" si="131"/>
        <v>46.936464417689834</v>
      </c>
      <c r="L148" s="62">
        <f t="shared" si="131"/>
        <v>46.272158498435871</v>
      </c>
      <c r="M148" s="62">
        <f t="shared" si="131"/>
        <v>62.78508183525625</v>
      </c>
      <c r="N148" s="62">
        <f t="shared" si="131"/>
        <v>44.9154532644434</v>
      </c>
      <c r="O148" s="62">
        <f t="shared" si="131"/>
        <v>19.591272280270438</v>
      </c>
      <c r="P148" s="62">
        <f t="shared" si="131"/>
        <v>63.051375194603018</v>
      </c>
      <c r="Q148" s="62">
        <f t="shared" si="131"/>
        <v>35.193690095846648</v>
      </c>
      <c r="R148" s="62">
        <f t="shared" si="131"/>
        <v>35.193690095846648</v>
      </c>
      <c r="S148" s="62">
        <f t="shared" si="131"/>
        <v>41.049030786773088</v>
      </c>
      <c r="T148" s="62">
        <f t="shared" si="131"/>
        <v>18.554819521427603</v>
      </c>
      <c r="U148" s="62">
        <f t="shared" si="131"/>
        <v>16.759336970205624</v>
      </c>
      <c r="V148" s="62">
        <f t="shared" si="131"/>
        <v>64.431047475508663</v>
      </c>
      <c r="W148" s="62">
        <f t="shared" si="131"/>
        <v>42.211328976034856</v>
      </c>
      <c r="X148" s="62">
        <f t="shared" si="131"/>
        <v>41.405486226925071</v>
      </c>
      <c r="Y148" s="62">
        <f t="shared" si="131"/>
        <v>47.104842708390727</v>
      </c>
      <c r="Z148" s="62">
        <f t="shared" si="131"/>
        <v>44.9154532644434</v>
      </c>
      <c r="AA148" s="62">
        <f t="shared" si="131"/>
        <v>64.634535588892433</v>
      </c>
      <c r="AB148" s="62">
        <f t="shared" si="131"/>
        <v>46.243434574103681</v>
      </c>
      <c r="AC148" s="62">
        <f t="shared" si="131"/>
        <v>40.80938615881653</v>
      </c>
      <c r="AD148" s="62">
        <f t="shared" si="131"/>
        <v>16.975641302004743</v>
      </c>
      <c r="AE148" s="62">
        <f t="shared" si="131"/>
        <v>40.40667361835245</v>
      </c>
      <c r="AF148" s="62">
        <f t="shared" si="131"/>
        <v>63.688488895340399</v>
      </c>
      <c r="AG148" s="62">
        <f t="shared" si="131"/>
        <v>44.255466851787574</v>
      </c>
      <c r="AH148" s="62">
        <f t="shared" si="131"/>
        <v>53.047033544228242</v>
      </c>
      <c r="AI148" s="62">
        <f t="shared" si="131"/>
        <v>47.657952069716771</v>
      </c>
      <c r="AJ148" s="62">
        <f t="shared" si="131"/>
        <v>19.717624148003896</v>
      </c>
      <c r="AK148" s="62">
        <f t="shared" si="131"/>
        <v>44.9154532644434</v>
      </c>
      <c r="AL148" s="62">
        <f t="shared" si="131"/>
        <v>16.759336970205624</v>
      </c>
      <c r="AM148" s="62">
        <f t="shared" si="131"/>
        <v>40.40667361835245</v>
      </c>
      <c r="AN148" s="62">
        <f t="shared" si="131"/>
        <v>45.575974635979328</v>
      </c>
      <c r="AO148" s="62">
        <f t="shared" si="131"/>
        <v>48.745724059293046</v>
      </c>
      <c r="AP148" s="62">
        <f t="shared" si="131"/>
        <v>49.792975442604231</v>
      </c>
      <c r="AQ148" s="62">
        <f t="shared" si="131"/>
        <v>41.049030786773088</v>
      </c>
      <c r="AR148" s="62">
        <f t="shared" si="131"/>
        <v>39.103232533889468</v>
      </c>
      <c r="AS148" s="62">
        <f t="shared" si="131"/>
        <v>39.103232533889468</v>
      </c>
      <c r="AT148" s="93">
        <f t="shared" si="131"/>
        <v>47.249055018899625</v>
      </c>
      <c r="AU148" s="93">
        <f t="shared" si="131"/>
        <v>41.412494741270514</v>
      </c>
      <c r="AV148" s="93">
        <f t="shared" si="131"/>
        <v>48.917989685509156</v>
      </c>
      <c r="AW148" s="93">
        <f t="shared" si="131"/>
        <v>23.661148977604675</v>
      </c>
      <c r="AX148" s="93">
        <f t="shared" si="131"/>
        <v>41.049030786773088</v>
      </c>
      <c r="AY148" s="93">
        <f t="shared" si="131"/>
        <v>48.071655527555606</v>
      </c>
      <c r="AZ148" s="93">
        <f t="shared" si="131"/>
        <v>36.764705882352942</v>
      </c>
      <c r="BA148" s="93">
        <f t="shared" si="131"/>
        <v>35.955746773202215</v>
      </c>
      <c r="BB148" s="93">
        <f t="shared" si="131"/>
        <v>51.566997121842022</v>
      </c>
      <c r="BC148" s="93">
        <f t="shared" si="131"/>
        <v>24.375</v>
      </c>
      <c r="BD148" s="93">
        <f t="shared" si="131"/>
        <v>115.90909090909092</v>
      </c>
      <c r="BE148" s="93">
        <f t="shared" si="131"/>
        <v>45.67408651826964</v>
      </c>
      <c r="BF148" s="93">
        <f t="shared" si="131"/>
        <v>47.249055018899625</v>
      </c>
      <c r="BG148" s="93">
        <f t="shared" si="131"/>
        <v>48.401966810079898</v>
      </c>
      <c r="BH148" s="93">
        <f t="shared" si="131"/>
        <v>44.369486248053974</v>
      </c>
      <c r="BI148" s="93">
        <f t="shared" si="131"/>
        <v>37.500000000000007</v>
      </c>
      <c r="BJ148" s="93">
        <f t="shared" si="131"/>
        <v>45.570834665813884</v>
      </c>
      <c r="BK148" s="93">
        <f t="shared" si="131"/>
        <v>27.556132863239934</v>
      </c>
      <c r="BL148" s="93">
        <f t="shared" si="131"/>
        <v>25.917065390749606</v>
      </c>
      <c r="BM148" s="93">
        <f t="shared" si="131"/>
        <v>39.488017429193896</v>
      </c>
      <c r="BN148" s="93">
        <f t="shared" si="131"/>
        <v>61.400207019855088</v>
      </c>
      <c r="BO148" s="93">
        <f t="shared" si="131"/>
        <v>39.631282292155937</v>
      </c>
      <c r="BP148" s="93">
        <f t="shared" si="131"/>
        <v>188.87500000000003</v>
      </c>
      <c r="BQ148" s="93">
        <f t="shared" si="131"/>
        <v>106.33333333333336</v>
      </c>
      <c r="BR148" s="93">
        <f t="shared" si="131"/>
        <v>158.72727272727275</v>
      </c>
      <c r="BS148" s="93">
        <f t="shared" si="131"/>
        <v>121.33612485725162</v>
      </c>
      <c r="BT148" s="93">
        <f t="shared" si="131"/>
        <v>105.34233507008148</v>
      </c>
    </row>
    <row r="149" spans="2:72" x14ac:dyDescent="0.2">
      <c r="C149" s="12" t="s">
        <v>3494</v>
      </c>
      <c r="D149" s="12" t="s">
        <v>3495</v>
      </c>
      <c r="H149" s="42"/>
      <c r="I149" s="42"/>
      <c r="J149" s="42"/>
      <c r="K149" s="42"/>
      <c r="L149" s="42"/>
      <c r="M149" s="42"/>
      <c r="N149" s="42"/>
      <c r="O149" s="42"/>
      <c r="P149" s="42"/>
      <c r="Q149" s="42"/>
      <c r="R149" s="42"/>
      <c r="S149" s="42"/>
      <c r="T149" s="42"/>
      <c r="U149" s="42"/>
      <c r="V149" s="42"/>
      <c r="W149" s="42"/>
      <c r="X149" s="42"/>
      <c r="Y149" s="42"/>
      <c r="Z149" s="42"/>
      <c r="AA149" s="42"/>
      <c r="AB149" s="42"/>
      <c r="AT149" s="92"/>
      <c r="AU149" s="92"/>
      <c r="AV149" s="92"/>
      <c r="AW149" s="92"/>
      <c r="AX149" s="92"/>
      <c r="AY149" s="92"/>
      <c r="AZ149" s="92"/>
      <c r="BA149" s="92"/>
      <c r="BB149" s="92"/>
      <c r="BC149" s="92"/>
      <c r="BD149" s="92"/>
      <c r="BE149" s="92"/>
      <c r="BF149" s="92"/>
      <c r="BG149" s="92"/>
      <c r="BH149" s="92"/>
      <c r="BI149" s="92"/>
      <c r="BJ149" s="92"/>
      <c r="BK149" s="92"/>
      <c r="BL149" s="92"/>
      <c r="BM149" s="92"/>
      <c r="BN149" s="92"/>
      <c r="BO149" s="92"/>
      <c r="BP149" s="67"/>
    </row>
    <row r="150" spans="2:72" x14ac:dyDescent="0.2">
      <c r="B150" s="12" t="s">
        <v>4043</v>
      </c>
      <c r="C150" s="12">
        <v>6</v>
      </c>
      <c r="D150" s="12">
        <v>2</v>
      </c>
      <c r="H150" s="42"/>
      <c r="I150" s="42"/>
      <c r="J150" s="42"/>
      <c r="K150" s="42"/>
      <c r="L150" s="42"/>
      <c r="M150" s="42"/>
      <c r="N150" s="42"/>
      <c r="O150" s="42"/>
      <c r="P150" s="42"/>
      <c r="Q150" s="42"/>
      <c r="R150" s="42"/>
      <c r="S150" s="42"/>
      <c r="T150" s="42"/>
      <c r="U150" s="42"/>
      <c r="V150" s="42"/>
      <c r="W150" s="42"/>
      <c r="X150" s="42"/>
      <c r="Y150" s="42"/>
      <c r="Z150" s="42"/>
      <c r="AA150" s="42"/>
      <c r="AB150" s="42"/>
      <c r="AT150" s="92"/>
      <c r="AU150" s="92"/>
      <c r="AV150" s="92"/>
      <c r="AW150" s="92"/>
      <c r="AX150" s="92"/>
      <c r="AY150" s="92"/>
      <c r="AZ150" s="92"/>
      <c r="BA150" s="92"/>
      <c r="BB150" s="92"/>
      <c r="BC150" s="92"/>
      <c r="BD150" s="92"/>
      <c r="BE150" s="92"/>
      <c r="BF150" s="92"/>
      <c r="BG150" s="92"/>
      <c r="BH150" s="92"/>
      <c r="BI150" s="92"/>
      <c r="BJ150" s="92"/>
      <c r="BK150" s="92"/>
      <c r="BL150" s="92"/>
      <c r="BM150" s="92"/>
      <c r="BN150" s="92"/>
      <c r="BO150" s="92"/>
      <c r="BP150" s="67"/>
    </row>
    <row r="151" spans="2:72" x14ac:dyDescent="0.2">
      <c r="B151" s="12" t="s">
        <v>4044</v>
      </c>
      <c r="C151" s="12">
        <v>6</v>
      </c>
      <c r="D151" s="12">
        <v>8</v>
      </c>
      <c r="G151" s="12" t="s">
        <v>3512</v>
      </c>
      <c r="H151" s="42">
        <f t="shared" ref="H151:BT151" si="132">H148*(H143+0.0254)</f>
        <v>68.49322210636079</v>
      </c>
      <c r="I151" s="42">
        <f t="shared" si="132"/>
        <v>70.822167755991288</v>
      </c>
      <c r="J151" s="42">
        <f t="shared" si="132"/>
        <v>82.207961484264914</v>
      </c>
      <c r="K151" s="42">
        <f t="shared" si="132"/>
        <v>79.94218619620932</v>
      </c>
      <c r="L151" s="42">
        <f t="shared" si="132"/>
        <v>81.050312825860274</v>
      </c>
      <c r="M151" s="42">
        <f t="shared" si="132"/>
        <v>118.59474107861551</v>
      </c>
      <c r="N151" s="42">
        <f t="shared" si="132"/>
        <v>77.640852512916865</v>
      </c>
      <c r="O151" s="42">
        <f t="shared" si="132"/>
        <v>19.622618315918871</v>
      </c>
      <c r="P151" s="42">
        <f t="shared" si="132"/>
        <v>123.10150492994293</v>
      </c>
      <c r="Q151" s="42">
        <f t="shared" si="132"/>
        <v>53.768919728434504</v>
      </c>
      <c r="R151" s="42">
        <f t="shared" si="132"/>
        <v>53.768919728434504</v>
      </c>
      <c r="S151" s="42">
        <f t="shared" si="132"/>
        <v>73.04264538198403</v>
      </c>
      <c r="T151" s="42">
        <f t="shared" si="132"/>
        <v>14.19629241584426</v>
      </c>
      <c r="U151" s="42">
        <f t="shared" si="132"/>
        <v>16.400687159043223</v>
      </c>
      <c r="V151" s="42">
        <f t="shared" si="132"/>
        <v>87.13654860587792</v>
      </c>
      <c r="W151" s="42">
        <f t="shared" si="132"/>
        <v>70.822167755991288</v>
      </c>
      <c r="X151" s="42">
        <f t="shared" si="132"/>
        <v>73.051699350163901</v>
      </c>
      <c r="Y151" s="42">
        <f t="shared" si="132"/>
        <v>86.696463004793131</v>
      </c>
      <c r="Z151" s="42">
        <f t="shared" si="132"/>
        <v>77.640852512916865</v>
      </c>
      <c r="AA151" s="42">
        <f t="shared" si="132"/>
        <v>82.641717203957882</v>
      </c>
      <c r="AB151" s="42">
        <f t="shared" si="132"/>
        <v>82.174583238182237</v>
      </c>
      <c r="AC151" s="42">
        <f t="shared" si="132"/>
        <v>73.036558408433947</v>
      </c>
      <c r="AD151" s="42">
        <f t="shared" si="132"/>
        <v>16.181181289070921</v>
      </c>
      <c r="AE151" s="42">
        <f t="shared" si="132"/>
        <v>70.776329509906148</v>
      </c>
      <c r="AF151" s="42">
        <f t="shared" si="132"/>
        <v>89.367687617941641</v>
      </c>
      <c r="AG151" s="42">
        <f t="shared" si="132"/>
        <v>77.624088858035407</v>
      </c>
      <c r="AH151" s="42">
        <f t="shared" si="132"/>
        <v>90.222394652023397</v>
      </c>
      <c r="AI151" s="42">
        <f t="shared" si="132"/>
        <v>79.960511982570807</v>
      </c>
      <c r="AJ151" s="42">
        <f t="shared" si="132"/>
        <v>20.750827653359302</v>
      </c>
      <c r="AK151" s="42">
        <f t="shared" si="132"/>
        <v>77.640852512916865</v>
      </c>
      <c r="AL151" s="42">
        <f t="shared" si="132"/>
        <v>16.400687159043223</v>
      </c>
      <c r="AM151" s="42">
        <f t="shared" si="132"/>
        <v>70.776329509906148</v>
      </c>
      <c r="AN151" s="42">
        <f t="shared" si="132"/>
        <v>78.782629755753874</v>
      </c>
      <c r="AO151" s="42">
        <f t="shared" si="132"/>
        <v>86.738141391106055</v>
      </c>
      <c r="AP151" s="42">
        <f t="shared" si="132"/>
        <v>71.014741576242145</v>
      </c>
      <c r="AQ151" s="42">
        <f t="shared" si="132"/>
        <v>73.04264538198403</v>
      </c>
      <c r="AR151" s="42">
        <f t="shared" si="132"/>
        <v>68.49322210636079</v>
      </c>
      <c r="AS151" s="42">
        <f t="shared" si="132"/>
        <v>68.49322210636079</v>
      </c>
      <c r="AT151" s="92">
        <f t="shared" si="132"/>
        <v>68.700125997480058</v>
      </c>
      <c r="AU151" s="92">
        <f t="shared" si="132"/>
        <v>79.801877366428272</v>
      </c>
      <c r="AV151" s="92">
        <f t="shared" si="132"/>
        <v>97.992516938011917</v>
      </c>
      <c r="AW151" s="92">
        <f t="shared" si="132"/>
        <v>24.900993184031162</v>
      </c>
      <c r="AX151" s="92">
        <f t="shared" si="132"/>
        <v>73.04264538198403</v>
      </c>
      <c r="AY151" s="92">
        <f t="shared" si="132"/>
        <v>88.971020050399915</v>
      </c>
      <c r="AZ151" s="92">
        <f t="shared" si="132"/>
        <v>61.683823529411775</v>
      </c>
      <c r="BA151" s="92">
        <f t="shared" si="132"/>
        <v>59.413275968039343</v>
      </c>
      <c r="BB151" s="92">
        <f t="shared" si="132"/>
        <v>98.05980172689479</v>
      </c>
      <c r="BC151" s="92">
        <f t="shared" si="132"/>
        <v>29.869125</v>
      </c>
      <c r="BD151" s="92">
        <f t="shared" si="132"/>
        <v>385.4440909090909</v>
      </c>
      <c r="BE151" s="92">
        <f t="shared" si="132"/>
        <v>66.410121797564059</v>
      </c>
      <c r="BF151" s="92">
        <f t="shared" si="132"/>
        <v>68.700125997480058</v>
      </c>
      <c r="BG151" s="92">
        <f t="shared" si="132"/>
        <v>79.979409956976028</v>
      </c>
      <c r="BH151" s="92">
        <f t="shared" si="132"/>
        <v>86.626984950700574</v>
      </c>
      <c r="BI151" s="92">
        <f t="shared" si="132"/>
        <v>68.452500000000015</v>
      </c>
      <c r="BJ151" s="92">
        <f t="shared" si="132"/>
        <v>86.65749920051168</v>
      </c>
      <c r="BK151" s="92">
        <f t="shared" si="132"/>
        <v>30.399925774726295</v>
      </c>
      <c r="BL151" s="92">
        <f t="shared" si="132"/>
        <v>29.908293460925044</v>
      </c>
      <c r="BM151" s="92">
        <f t="shared" si="132"/>
        <v>66.252995642701521</v>
      </c>
      <c r="BN151" s="92">
        <f t="shared" si="132"/>
        <v>132.0595652583043</v>
      </c>
      <c r="BO151" s="92">
        <f t="shared" si="132"/>
        <v>68.506634570220754</v>
      </c>
      <c r="BP151" s="92">
        <f t="shared" si="132"/>
        <v>684.74742500000002</v>
      </c>
      <c r="BQ151" s="92">
        <f t="shared" si="132"/>
        <v>289.80086666666671</v>
      </c>
      <c r="BR151" s="92">
        <f t="shared" si="132"/>
        <v>527.8316727272728</v>
      </c>
      <c r="BS151" s="92">
        <f t="shared" si="132"/>
        <v>385.58193757137417</v>
      </c>
      <c r="BT151" s="92">
        <f t="shared" si="132"/>
        <v>289.77569531078007</v>
      </c>
    </row>
    <row r="152" spans="2:72" x14ac:dyDescent="0.2">
      <c r="B152" s="12" t="s">
        <v>4045</v>
      </c>
      <c r="C152" s="12">
        <f>(C150+C151)/2</f>
        <v>6</v>
      </c>
      <c r="D152" s="12">
        <f>(D150+D151)/2</f>
        <v>5</v>
      </c>
      <c r="G152" s="20" t="s">
        <v>3513</v>
      </c>
      <c r="H152" s="62">
        <f t="shared" ref="H152:BT152" si="133">H151-H146</f>
        <v>0.99322210636078978</v>
      </c>
      <c r="I152" s="62">
        <f t="shared" si="133"/>
        <v>1.0721677559912877</v>
      </c>
      <c r="J152" s="62">
        <f t="shared" si="133"/>
        <v>1.2079614842649136</v>
      </c>
      <c r="K152" s="62">
        <f t="shared" si="133"/>
        <v>1.1921861962093203</v>
      </c>
      <c r="L152" s="62">
        <f t="shared" si="133"/>
        <v>1.1753128258602743</v>
      </c>
      <c r="M152" s="62">
        <f t="shared" si="133"/>
        <v>1.5947410786155132</v>
      </c>
      <c r="N152" s="62">
        <f t="shared" si="133"/>
        <v>1.1408525129168652</v>
      </c>
      <c r="O152" s="62">
        <f t="shared" si="133"/>
        <v>0.49761831591887074</v>
      </c>
      <c r="P152" s="62">
        <f t="shared" si="133"/>
        <v>1.6015049299429336</v>
      </c>
      <c r="Q152" s="62">
        <f t="shared" si="133"/>
        <v>0.89391972843450418</v>
      </c>
      <c r="R152" s="62">
        <f t="shared" si="133"/>
        <v>0.89391972843450418</v>
      </c>
      <c r="S152" s="62">
        <f t="shared" si="133"/>
        <v>1.0426453819840305</v>
      </c>
      <c r="T152" s="62">
        <f t="shared" si="133"/>
        <v>0.4712924158442604</v>
      </c>
      <c r="U152" s="62">
        <f t="shared" si="133"/>
        <v>0.42568715904322296</v>
      </c>
      <c r="V152" s="62">
        <f t="shared" si="133"/>
        <v>1.6365486058779197</v>
      </c>
      <c r="W152" s="62">
        <f t="shared" si="133"/>
        <v>1.0721677559912877</v>
      </c>
      <c r="X152" s="62">
        <f t="shared" si="133"/>
        <v>1.0516993501639007</v>
      </c>
      <c r="Y152" s="62">
        <f t="shared" si="133"/>
        <v>1.1964630047931308</v>
      </c>
      <c r="Z152" s="62">
        <f t="shared" si="133"/>
        <v>1.1408525129168652</v>
      </c>
      <c r="AA152" s="62">
        <f t="shared" si="133"/>
        <v>1.6417172039578816</v>
      </c>
      <c r="AB152" s="62">
        <f t="shared" si="133"/>
        <v>1.1745832381822368</v>
      </c>
      <c r="AC152" s="62">
        <f t="shared" si="133"/>
        <v>1.0365584084339474</v>
      </c>
      <c r="AD152" s="62">
        <f t="shared" si="133"/>
        <v>0.43118128907092057</v>
      </c>
      <c r="AE152" s="62">
        <f t="shared" si="133"/>
        <v>1.026329509906148</v>
      </c>
      <c r="AF152" s="62">
        <f t="shared" si="133"/>
        <v>1.6176876179416411</v>
      </c>
      <c r="AG152" s="62">
        <f t="shared" si="133"/>
        <v>1.1240888580354067</v>
      </c>
      <c r="AH152" s="62">
        <f t="shared" si="133"/>
        <v>1.3473946520233966</v>
      </c>
      <c r="AI152" s="62">
        <f t="shared" si="133"/>
        <v>1.2105119825708073</v>
      </c>
      <c r="AJ152" s="62">
        <f t="shared" si="133"/>
        <v>0.50082765335930191</v>
      </c>
      <c r="AK152" s="62">
        <f t="shared" si="133"/>
        <v>1.1408525129168652</v>
      </c>
      <c r="AL152" s="62">
        <f t="shared" si="133"/>
        <v>0.42568715904322296</v>
      </c>
      <c r="AM152" s="62">
        <f t="shared" si="133"/>
        <v>1.026329509906148</v>
      </c>
      <c r="AN152" s="62">
        <f t="shared" si="133"/>
        <v>1.1576297557538737</v>
      </c>
      <c r="AO152" s="62">
        <f t="shared" si="133"/>
        <v>1.2381413911060548</v>
      </c>
      <c r="AP152" s="62">
        <f t="shared" si="133"/>
        <v>1.2647415762421446</v>
      </c>
      <c r="AQ152" s="62">
        <f t="shared" si="133"/>
        <v>1.0426453819840305</v>
      </c>
      <c r="AR152" s="62">
        <f t="shared" si="133"/>
        <v>0.99322210636078978</v>
      </c>
      <c r="AS152" s="62">
        <f t="shared" si="133"/>
        <v>0.99322210636078978</v>
      </c>
      <c r="AT152" s="93">
        <f t="shared" si="133"/>
        <v>1.2001259974800575</v>
      </c>
      <c r="AU152" s="93">
        <f t="shared" si="133"/>
        <v>1.0518773664282719</v>
      </c>
      <c r="AV152" s="93">
        <f t="shared" si="133"/>
        <v>1.2425169380119172</v>
      </c>
      <c r="AW152" s="93">
        <f t="shared" si="133"/>
        <v>0.60099318403116087</v>
      </c>
      <c r="AX152" s="93">
        <f t="shared" si="133"/>
        <v>1.0426453819840305</v>
      </c>
      <c r="AY152" s="93">
        <f t="shared" si="133"/>
        <v>1.2210200503999147</v>
      </c>
      <c r="AZ152" s="93">
        <f t="shared" si="133"/>
        <v>0.93382352941177516</v>
      </c>
      <c r="BA152" s="93">
        <f t="shared" si="133"/>
        <v>0.91327596803934341</v>
      </c>
      <c r="BB152" s="93">
        <f t="shared" si="133"/>
        <v>1.3098017268947899</v>
      </c>
      <c r="BC152" s="93">
        <f t="shared" si="133"/>
        <v>0.61912500000000037</v>
      </c>
      <c r="BD152" s="93">
        <f t="shared" si="133"/>
        <v>2.9440909090909031</v>
      </c>
      <c r="BE152" s="93">
        <f t="shared" si="133"/>
        <v>1.1601217975640594</v>
      </c>
      <c r="BF152" s="93">
        <f t="shared" si="133"/>
        <v>1.2001259974800575</v>
      </c>
      <c r="BG152" s="93">
        <f t="shared" si="133"/>
        <v>1.2294099569760277</v>
      </c>
      <c r="BH152" s="93">
        <f t="shared" si="133"/>
        <v>1.1269849507005745</v>
      </c>
      <c r="BI152" s="93">
        <f t="shared" si="133"/>
        <v>0.95250000000001478</v>
      </c>
      <c r="BJ152" s="93">
        <f t="shared" si="133"/>
        <v>1.1574992005116798</v>
      </c>
      <c r="BK152" s="93">
        <f t="shared" si="133"/>
        <v>0.69992577472629591</v>
      </c>
      <c r="BL152" s="93">
        <f t="shared" si="133"/>
        <v>0.65829346092504437</v>
      </c>
      <c r="BM152" s="93">
        <f t="shared" si="133"/>
        <v>1.0029956427015208</v>
      </c>
      <c r="BN152" s="93">
        <f t="shared" si="133"/>
        <v>1.5595652583043034</v>
      </c>
      <c r="BO152" s="93">
        <f t="shared" si="133"/>
        <v>1.0066345702207542</v>
      </c>
      <c r="BP152" s="93">
        <f t="shared" si="133"/>
        <v>4.7974249999999756</v>
      </c>
      <c r="BQ152" s="93">
        <f t="shared" si="133"/>
        <v>2.7008666666666841</v>
      </c>
      <c r="BR152" s="93">
        <f t="shared" si="133"/>
        <v>4.0316727272727348</v>
      </c>
      <c r="BS152" s="93">
        <f t="shared" si="133"/>
        <v>3.0819375713741692</v>
      </c>
      <c r="BT152" s="93">
        <f t="shared" si="133"/>
        <v>2.6756953107800427</v>
      </c>
    </row>
    <row r="154" spans="2:72" x14ac:dyDescent="0.2">
      <c r="B154" s="12" t="s">
        <v>4046</v>
      </c>
      <c r="C154" s="12">
        <v>220</v>
      </c>
      <c r="G154" s="12" t="s">
        <v>4250</v>
      </c>
      <c r="H154" s="12">
        <v>5</v>
      </c>
      <c r="I154" s="12">
        <v>4</v>
      </c>
      <c r="J154" s="12">
        <v>4</v>
      </c>
      <c r="K154" s="12">
        <v>4</v>
      </c>
      <c r="L154" s="12">
        <v>5</v>
      </c>
      <c r="M154" s="12">
        <v>6</v>
      </c>
      <c r="N154" s="12">
        <v>4</v>
      </c>
      <c r="O154" s="12">
        <v>3</v>
      </c>
      <c r="P154" s="12">
        <v>6</v>
      </c>
      <c r="Q154" s="12">
        <v>4</v>
      </c>
      <c r="R154" s="12">
        <v>4</v>
      </c>
      <c r="S154" s="12">
        <v>5</v>
      </c>
      <c r="T154" s="12">
        <v>2</v>
      </c>
      <c r="U154" s="12">
        <v>2</v>
      </c>
      <c r="V154" s="12">
        <v>4</v>
      </c>
      <c r="W154" s="12">
        <v>4</v>
      </c>
      <c r="X154" s="12">
        <v>5</v>
      </c>
      <c r="Y154" s="12">
        <v>5</v>
      </c>
      <c r="Z154" s="12">
        <v>4</v>
      </c>
      <c r="AA154" s="12">
        <v>3</v>
      </c>
      <c r="AB154" s="12">
        <v>5</v>
      </c>
      <c r="AC154" s="12">
        <v>5</v>
      </c>
      <c r="AD154" s="12">
        <v>2</v>
      </c>
      <c r="AE154" s="12">
        <v>5</v>
      </c>
      <c r="AF154" s="12">
        <v>4</v>
      </c>
      <c r="AG154" s="12">
        <v>4</v>
      </c>
      <c r="AH154" s="12">
        <v>5</v>
      </c>
      <c r="AI154" s="12">
        <v>4</v>
      </c>
      <c r="AJ154" s="12">
        <v>3</v>
      </c>
      <c r="AK154" s="12">
        <v>4</v>
      </c>
      <c r="AL154" s="12">
        <v>2</v>
      </c>
      <c r="AM154" s="12">
        <v>5</v>
      </c>
      <c r="AN154" s="12">
        <v>4</v>
      </c>
      <c r="AO154" s="12">
        <v>5</v>
      </c>
      <c r="AP154" s="12">
        <v>4</v>
      </c>
      <c r="AQ154" s="12">
        <v>5</v>
      </c>
      <c r="AR154" s="12">
        <v>5</v>
      </c>
      <c r="AS154" s="12">
        <v>5</v>
      </c>
      <c r="AT154" s="12">
        <v>4</v>
      </c>
    </row>
    <row r="155" spans="2:72" x14ac:dyDescent="0.2">
      <c r="B155" s="12" t="s">
        <v>4047</v>
      </c>
      <c r="C155" s="12">
        <v>320</v>
      </c>
      <c r="G155" s="12" t="s">
        <v>4251</v>
      </c>
      <c r="H155" s="12">
        <v>5</v>
      </c>
      <c r="I155" s="12">
        <v>10</v>
      </c>
      <c r="J155" s="12">
        <v>10</v>
      </c>
      <c r="K155" s="12">
        <v>9</v>
      </c>
      <c r="L155" s="12">
        <v>0</v>
      </c>
      <c r="M155" s="12">
        <v>0</v>
      </c>
      <c r="N155" s="12">
        <v>10</v>
      </c>
      <c r="O155" s="12">
        <v>0</v>
      </c>
      <c r="P155" s="12">
        <v>2</v>
      </c>
      <c r="Q155" s="12">
        <v>7</v>
      </c>
      <c r="R155" s="12">
        <v>7</v>
      </c>
      <c r="S155" s="12">
        <v>10</v>
      </c>
      <c r="T155" s="12">
        <v>1</v>
      </c>
      <c r="U155" s="12">
        <v>10</v>
      </c>
      <c r="V155" s="12">
        <v>2</v>
      </c>
      <c r="W155" s="12">
        <v>10</v>
      </c>
      <c r="X155" s="12">
        <v>5</v>
      </c>
      <c r="Y155" s="12">
        <v>9</v>
      </c>
      <c r="Z155" s="12">
        <v>10</v>
      </c>
      <c r="AA155" s="12">
        <v>11</v>
      </c>
      <c r="AB155" s="12">
        <v>2</v>
      </c>
      <c r="AC155" s="12">
        <v>9</v>
      </c>
      <c r="AD155" s="12">
        <v>10</v>
      </c>
      <c r="AE155" s="12">
        <v>5</v>
      </c>
      <c r="AF155" s="12">
        <v>4</v>
      </c>
      <c r="AG155" s="12">
        <v>11</v>
      </c>
      <c r="AH155" s="12">
        <v>0</v>
      </c>
      <c r="AI155" s="12">
        <v>10</v>
      </c>
      <c r="AJ155" s="12">
        <v>2</v>
      </c>
      <c r="AK155" s="12">
        <v>10</v>
      </c>
      <c r="AL155" s="12">
        <v>10</v>
      </c>
      <c r="AM155" s="12">
        <v>5</v>
      </c>
      <c r="AN155" s="12">
        <v>10</v>
      </c>
      <c r="AO155" s="12">
        <v>10</v>
      </c>
      <c r="AP155" s="12">
        <v>4</v>
      </c>
      <c r="AQ155" s="12">
        <v>10</v>
      </c>
      <c r="AR155" s="12">
        <v>5</v>
      </c>
      <c r="AS155" s="12">
        <v>5</v>
      </c>
      <c r="AT155" s="12">
        <v>0</v>
      </c>
    </row>
    <row r="156" spans="2:72" x14ac:dyDescent="0.2">
      <c r="B156" s="12" t="s">
        <v>4045</v>
      </c>
      <c r="C156" s="12">
        <f>(C154+C155)/2</f>
        <v>270</v>
      </c>
      <c r="G156" s="12" t="s">
        <v>4252</v>
      </c>
      <c r="H156" s="12">
        <v>6</v>
      </c>
      <c r="I156" s="12">
        <v>6</v>
      </c>
      <c r="J156" s="12">
        <v>6</v>
      </c>
      <c r="K156" s="12">
        <v>6</v>
      </c>
      <c r="L156" s="12">
        <v>6</v>
      </c>
      <c r="M156" s="12">
        <v>6</v>
      </c>
      <c r="N156" s="12">
        <v>6</v>
      </c>
      <c r="O156" s="12">
        <v>3</v>
      </c>
      <c r="P156" s="12">
        <v>6</v>
      </c>
      <c r="Q156" s="12">
        <v>5</v>
      </c>
      <c r="R156" s="12">
        <v>5</v>
      </c>
      <c r="S156" s="12">
        <v>5</v>
      </c>
      <c r="T156" s="12">
        <v>2</v>
      </c>
      <c r="U156" s="12">
        <v>3</v>
      </c>
      <c r="V156" s="12">
        <v>4</v>
      </c>
      <c r="W156" s="12">
        <v>6</v>
      </c>
      <c r="X156" s="12">
        <v>6</v>
      </c>
      <c r="Y156" s="12">
        <v>6</v>
      </c>
      <c r="Z156" s="12">
        <v>6</v>
      </c>
      <c r="AA156" s="12">
        <v>4</v>
      </c>
      <c r="AB156" s="12">
        <v>6</v>
      </c>
      <c r="AC156" s="12">
        <v>6</v>
      </c>
      <c r="AD156" s="12">
        <v>3</v>
      </c>
      <c r="AE156" s="12">
        <v>6</v>
      </c>
      <c r="AF156" s="12">
        <v>4</v>
      </c>
      <c r="AG156" s="12">
        <v>6</v>
      </c>
      <c r="AH156" s="12">
        <v>6</v>
      </c>
      <c r="AI156" s="12">
        <v>6</v>
      </c>
      <c r="AJ156" s="12">
        <v>3</v>
      </c>
      <c r="AK156" s="12">
        <v>6</v>
      </c>
      <c r="AL156" s="12">
        <v>3</v>
      </c>
      <c r="AM156" s="12">
        <v>6</v>
      </c>
      <c r="AN156" s="12">
        <v>6</v>
      </c>
      <c r="AO156" s="12">
        <v>5</v>
      </c>
      <c r="AP156" s="12">
        <v>5</v>
      </c>
      <c r="AQ156" s="12">
        <v>5</v>
      </c>
      <c r="AR156" s="12">
        <v>6</v>
      </c>
      <c r="AS156" s="12">
        <v>6</v>
      </c>
      <c r="AT156" s="12">
        <v>4</v>
      </c>
    </row>
    <row r="157" spans="2:72" x14ac:dyDescent="0.2">
      <c r="G157" s="12" t="s">
        <v>4253</v>
      </c>
      <c r="H157" s="12">
        <v>1</v>
      </c>
      <c r="I157" s="12">
        <v>2</v>
      </c>
      <c r="J157" s="12">
        <v>6</v>
      </c>
      <c r="K157" s="12">
        <v>5</v>
      </c>
      <c r="L157" s="12">
        <v>6</v>
      </c>
      <c r="M157" s="12">
        <v>5</v>
      </c>
      <c r="N157" s="12">
        <v>6</v>
      </c>
      <c r="O157" s="12">
        <v>6</v>
      </c>
      <c r="P157" s="12">
        <v>8</v>
      </c>
      <c r="Q157" s="12">
        <v>5</v>
      </c>
      <c r="R157" s="12">
        <v>5</v>
      </c>
      <c r="S157" s="12">
        <v>10</v>
      </c>
      <c r="T157" s="12">
        <v>10</v>
      </c>
      <c r="U157" s="12">
        <v>6</v>
      </c>
      <c r="V157" s="12">
        <v>8</v>
      </c>
      <c r="W157" s="12">
        <v>2</v>
      </c>
      <c r="X157" s="12">
        <v>2</v>
      </c>
      <c r="Y157" s="12">
        <v>4</v>
      </c>
      <c r="Z157" s="12">
        <v>6</v>
      </c>
      <c r="AA157" s="12">
        <v>5</v>
      </c>
      <c r="AB157" s="12">
        <v>6</v>
      </c>
      <c r="AC157" s="12">
        <v>0</v>
      </c>
      <c r="AD157" s="12">
        <v>4</v>
      </c>
      <c r="AE157" s="12">
        <v>1</v>
      </c>
      <c r="AF157" s="12">
        <v>10</v>
      </c>
      <c r="AG157" s="12">
        <v>7</v>
      </c>
      <c r="AH157" s="12">
        <v>2</v>
      </c>
      <c r="AI157" s="12">
        <v>2</v>
      </c>
      <c r="AJ157" s="12">
        <v>8</v>
      </c>
      <c r="AK157" s="12">
        <v>6</v>
      </c>
      <c r="AL157" s="12">
        <v>6</v>
      </c>
      <c r="AM157" s="12">
        <v>1</v>
      </c>
      <c r="AN157" s="12">
        <v>6</v>
      </c>
      <c r="AO157" s="12">
        <v>10</v>
      </c>
      <c r="AP157" s="12">
        <v>0</v>
      </c>
      <c r="AQ157" s="12">
        <v>10</v>
      </c>
      <c r="AR157" s="12">
        <v>1</v>
      </c>
      <c r="AS157" s="12">
        <v>1</v>
      </c>
      <c r="AT157" s="12">
        <v>9</v>
      </c>
    </row>
    <row r="158" spans="2:72" x14ac:dyDescent="0.2">
      <c r="C158" s="12" t="s">
        <v>4269</v>
      </c>
    </row>
    <row r="159" spans="2:72" x14ac:dyDescent="0.2">
      <c r="B159" s="12">
        <v>1</v>
      </c>
      <c r="C159" s="12" t="s">
        <v>4272</v>
      </c>
      <c r="G159" s="12" t="s">
        <v>4046</v>
      </c>
      <c r="H159" s="12">
        <v>130</v>
      </c>
      <c r="I159" s="12">
        <v>120</v>
      </c>
      <c r="J159" s="12">
        <v>120</v>
      </c>
      <c r="K159" s="12">
        <v>115</v>
      </c>
      <c r="L159" s="12">
        <v>120</v>
      </c>
      <c r="M159" s="12">
        <v>200</v>
      </c>
      <c r="N159" s="12">
        <v>120</v>
      </c>
      <c r="O159" s="12">
        <v>40</v>
      </c>
      <c r="P159" s="12">
        <v>220</v>
      </c>
      <c r="Q159" s="12">
        <v>80</v>
      </c>
      <c r="R159" s="12">
        <v>80</v>
      </c>
      <c r="S159" s="12">
        <v>160</v>
      </c>
      <c r="T159" s="12">
        <v>26</v>
      </c>
      <c r="U159" s="12">
        <v>33</v>
      </c>
      <c r="V159" s="12">
        <v>160</v>
      </c>
      <c r="W159" s="12">
        <v>120</v>
      </c>
      <c r="X159" s="12">
        <v>130</v>
      </c>
      <c r="Y159" s="12">
        <v>155</v>
      </c>
      <c r="Z159" s="12">
        <v>120</v>
      </c>
      <c r="AA159" s="12">
        <v>135</v>
      </c>
      <c r="AB159" s="12">
        <v>120</v>
      </c>
      <c r="AC159" s="12">
        <v>155</v>
      </c>
      <c r="AD159" s="12">
        <v>32</v>
      </c>
      <c r="AE159" s="12">
        <v>130</v>
      </c>
      <c r="AF159" s="12">
        <v>150</v>
      </c>
      <c r="AG159" s="12">
        <v>120</v>
      </c>
      <c r="AH159" s="12">
        <v>135</v>
      </c>
      <c r="AI159" s="12">
        <v>130</v>
      </c>
      <c r="AJ159" s="12">
        <v>42</v>
      </c>
      <c r="AK159" s="12">
        <v>120</v>
      </c>
      <c r="AL159" s="12">
        <v>33</v>
      </c>
      <c r="AM159" s="12">
        <v>130</v>
      </c>
      <c r="AN159" s="12">
        <v>125</v>
      </c>
      <c r="AO159" s="12">
        <v>160</v>
      </c>
      <c r="AP159" s="12">
        <v>110</v>
      </c>
      <c r="AQ159" s="12">
        <v>160</v>
      </c>
      <c r="AR159" s="12">
        <v>130</v>
      </c>
      <c r="AS159" s="12">
        <v>130</v>
      </c>
      <c r="AT159" s="12">
        <v>140</v>
      </c>
    </row>
    <row r="160" spans="2:72" x14ac:dyDescent="0.2">
      <c r="B160" s="12">
        <v>2</v>
      </c>
      <c r="C160" s="12" t="s">
        <v>4271</v>
      </c>
      <c r="G160" s="12" t="s">
        <v>4047</v>
      </c>
      <c r="H160" s="12">
        <v>170</v>
      </c>
      <c r="I160" s="12">
        <v>190</v>
      </c>
      <c r="J160" s="12">
        <v>240</v>
      </c>
      <c r="K160" s="12">
        <v>235</v>
      </c>
      <c r="L160" s="12">
        <v>235</v>
      </c>
      <c r="M160" s="12">
        <v>320</v>
      </c>
      <c r="N160" s="12">
        <v>220</v>
      </c>
      <c r="O160" s="12">
        <v>45</v>
      </c>
      <c r="P160" s="12">
        <v>320</v>
      </c>
      <c r="Q160" s="12">
        <v>155</v>
      </c>
      <c r="R160" s="12">
        <v>155</v>
      </c>
      <c r="S160" s="12">
        <v>160</v>
      </c>
      <c r="T160" s="12">
        <v>35</v>
      </c>
      <c r="U160" s="12">
        <v>38</v>
      </c>
      <c r="V160" s="12">
        <v>220</v>
      </c>
      <c r="W160" s="12">
        <v>190</v>
      </c>
      <c r="X160" s="12">
        <v>190</v>
      </c>
      <c r="Y160" s="12">
        <v>225</v>
      </c>
      <c r="Z160" s="12">
        <v>220</v>
      </c>
      <c r="AA160" s="12">
        <v>225</v>
      </c>
      <c r="AB160" s="12">
        <v>240</v>
      </c>
      <c r="AC160" s="12">
        <v>165</v>
      </c>
      <c r="AD160" s="12">
        <v>38</v>
      </c>
      <c r="AE160" s="12">
        <v>180</v>
      </c>
      <c r="AF160" s="12">
        <v>240</v>
      </c>
      <c r="AG160" s="12">
        <v>220</v>
      </c>
      <c r="AH160" s="12">
        <v>260</v>
      </c>
      <c r="AI160" s="12">
        <v>220</v>
      </c>
      <c r="AJ160" s="12">
        <v>48</v>
      </c>
      <c r="AK160" s="12">
        <v>220</v>
      </c>
      <c r="AL160" s="12">
        <v>38</v>
      </c>
      <c r="AM160" s="12">
        <v>180</v>
      </c>
      <c r="AN160" s="12">
        <v>220</v>
      </c>
      <c r="AO160" s="12">
        <v>220</v>
      </c>
      <c r="AP160" s="12">
        <v>200</v>
      </c>
      <c r="AQ160" s="12">
        <v>160</v>
      </c>
      <c r="AR160" s="12">
        <v>170</v>
      </c>
      <c r="AS160" s="12">
        <v>170</v>
      </c>
      <c r="AT160" s="12">
        <v>230</v>
      </c>
    </row>
    <row r="161" spans="1:72" x14ac:dyDescent="0.2">
      <c r="B161" s="12">
        <v>3</v>
      </c>
      <c r="C161" s="12" t="s">
        <v>4270</v>
      </c>
    </row>
    <row r="162" spans="1:72" x14ac:dyDescent="0.2">
      <c r="B162" s="12">
        <v>4</v>
      </c>
      <c r="C162" s="12" t="s">
        <v>4273</v>
      </c>
    </row>
    <row r="163" spans="1:72" x14ac:dyDescent="0.2">
      <c r="B163" s="12">
        <v>5</v>
      </c>
      <c r="C163" s="12" t="s">
        <v>4274</v>
      </c>
      <c r="G163" s="12" t="s">
        <v>3520</v>
      </c>
      <c r="H163" s="77" t="s">
        <v>4050</v>
      </c>
      <c r="I163" s="77" t="s">
        <v>4247</v>
      </c>
      <c r="J163" s="77" t="s">
        <v>4064</v>
      </c>
      <c r="K163" s="77" t="s">
        <v>4056</v>
      </c>
      <c r="L163" s="77" t="s">
        <v>4057</v>
      </c>
      <c r="M163" s="77" t="s">
        <v>894</v>
      </c>
      <c r="N163" s="77" t="s">
        <v>4063</v>
      </c>
      <c r="O163" s="77" t="s">
        <v>4052</v>
      </c>
      <c r="P163" s="77" t="s">
        <v>4062</v>
      </c>
      <c r="Q163" s="77" t="s">
        <v>958</v>
      </c>
      <c r="R163" s="77" t="s">
        <v>957</v>
      </c>
      <c r="S163" s="77" t="s">
        <v>4065</v>
      </c>
      <c r="T163" s="77" t="s">
        <v>4215</v>
      </c>
      <c r="U163" s="77" t="s">
        <v>4227</v>
      </c>
      <c r="V163" s="77" t="s">
        <v>4226</v>
      </c>
      <c r="W163" s="77" t="s">
        <v>4066</v>
      </c>
      <c r="X163" s="77" t="s">
        <v>880</v>
      </c>
      <c r="Y163" s="77" t="s">
        <v>1038</v>
      </c>
      <c r="Z163" s="77" t="s">
        <v>4067</v>
      </c>
      <c r="AA163" s="77" t="s">
        <v>4225</v>
      </c>
      <c r="AB163" s="77" t="s">
        <v>4058</v>
      </c>
      <c r="AC163" s="77" t="s">
        <v>4254</v>
      </c>
      <c r="AD163" s="77" t="s">
        <v>4259</v>
      </c>
      <c r="AE163" s="77" t="s">
        <v>4041</v>
      </c>
      <c r="AF163" s="77" t="s">
        <v>4230</v>
      </c>
      <c r="AG163" s="77" t="s">
        <v>4059</v>
      </c>
      <c r="AH163" s="77" t="s">
        <v>4068</v>
      </c>
      <c r="AI163" s="77" t="s">
        <v>4060</v>
      </c>
      <c r="AJ163" s="77" t="s">
        <v>4054</v>
      </c>
      <c r="AK163" s="77" t="s">
        <v>4069</v>
      </c>
      <c r="AL163" s="77" t="s">
        <v>4237</v>
      </c>
      <c r="AM163" s="77" t="s">
        <v>4040</v>
      </c>
      <c r="AN163" s="77" t="s">
        <v>4061</v>
      </c>
      <c r="AO163" s="77" t="s">
        <v>4070</v>
      </c>
      <c r="AP163" s="77" t="s">
        <v>4243</v>
      </c>
      <c r="AQ163" s="77" t="s">
        <v>4071</v>
      </c>
      <c r="AR163" s="77" t="s">
        <v>4049</v>
      </c>
      <c r="AS163" s="77" t="s">
        <v>4042</v>
      </c>
      <c r="AT163" s="67" t="s">
        <v>876</v>
      </c>
      <c r="AU163" s="67" t="s">
        <v>5474</v>
      </c>
      <c r="AV163" s="67" t="s">
        <v>877</v>
      </c>
      <c r="AW163" s="67" t="s">
        <v>941</v>
      </c>
      <c r="AX163" s="67" t="s">
        <v>3481</v>
      </c>
      <c r="AY163" s="67" t="s">
        <v>881</v>
      </c>
      <c r="AZ163" s="67" t="s">
        <v>888</v>
      </c>
      <c r="BA163" s="67" t="s">
        <v>1015</v>
      </c>
      <c r="BB163" s="67" t="s">
        <v>917</v>
      </c>
      <c r="BC163" s="67" t="s">
        <v>4916</v>
      </c>
      <c r="BD163" s="67" t="s">
        <v>992</v>
      </c>
      <c r="BE163" s="67" t="s">
        <v>956</v>
      </c>
      <c r="BF163" s="67" t="s">
        <v>892</v>
      </c>
      <c r="BG163" s="67" t="s">
        <v>887</v>
      </c>
      <c r="BH163" s="67" t="s">
        <v>879</v>
      </c>
      <c r="BI163" s="67" t="s">
        <v>878</v>
      </c>
      <c r="BJ163" s="67" t="s">
        <v>1034</v>
      </c>
      <c r="BK163" s="67" t="s">
        <v>942</v>
      </c>
      <c r="BL163" s="67" t="s">
        <v>943</v>
      </c>
      <c r="BM163" s="67" t="s">
        <v>3482</v>
      </c>
      <c r="BN163" s="67" t="s">
        <v>3483</v>
      </c>
      <c r="BO163" s="67" t="s">
        <v>3484</v>
      </c>
      <c r="BP163" s="67" t="s">
        <v>959</v>
      </c>
      <c r="BQ163" s="12" t="s">
        <v>963</v>
      </c>
      <c r="BR163" s="12" t="s">
        <v>960</v>
      </c>
      <c r="BS163" s="12" t="s">
        <v>5545</v>
      </c>
      <c r="BT163" s="12" t="s">
        <v>964</v>
      </c>
    </row>
    <row r="164" spans="1:72" x14ac:dyDescent="0.2">
      <c r="B164" s="12">
        <v>6</v>
      </c>
      <c r="C164" s="12" t="s">
        <v>4275</v>
      </c>
      <c r="G164" s="12" t="s">
        <v>4269</v>
      </c>
      <c r="H164" s="12" t="s">
        <v>4270</v>
      </c>
      <c r="I164" s="12" t="s">
        <v>4270</v>
      </c>
      <c r="J164" s="12" t="s">
        <v>4270</v>
      </c>
      <c r="K164" s="12" t="s">
        <v>4270</v>
      </c>
      <c r="L164" s="12" t="s">
        <v>4270</v>
      </c>
      <c r="M164" s="12" t="s">
        <v>4270</v>
      </c>
      <c r="N164" s="12" t="s">
        <v>4270</v>
      </c>
      <c r="O164" s="12" t="s">
        <v>4271</v>
      </c>
      <c r="P164" s="12" t="s">
        <v>4270</v>
      </c>
      <c r="Q164" s="12" t="s">
        <v>4270</v>
      </c>
      <c r="R164" s="12" t="s">
        <v>4270</v>
      </c>
      <c r="S164" s="12" t="s">
        <v>4270</v>
      </c>
      <c r="T164" s="12" t="s">
        <v>4271</v>
      </c>
      <c r="U164" s="12" t="s">
        <v>4271</v>
      </c>
      <c r="V164" s="12" t="s">
        <v>4271</v>
      </c>
      <c r="W164" s="12" t="s">
        <v>4270</v>
      </c>
      <c r="X164" s="12" t="s">
        <v>4270</v>
      </c>
      <c r="Y164" s="12" t="s">
        <v>4270</v>
      </c>
      <c r="Z164" s="12" t="s">
        <v>4270</v>
      </c>
      <c r="AA164" s="12" t="s">
        <v>4270</v>
      </c>
      <c r="AB164" s="12" t="s">
        <v>4270</v>
      </c>
      <c r="AC164" s="12" t="s">
        <v>4270</v>
      </c>
      <c r="AD164" s="12" t="s">
        <v>4271</v>
      </c>
      <c r="AE164" s="12" t="s">
        <v>4270</v>
      </c>
      <c r="AF164" s="12" t="s">
        <v>4270</v>
      </c>
      <c r="AG164" s="12" t="s">
        <v>4270</v>
      </c>
      <c r="AH164" s="12" t="s">
        <v>4270</v>
      </c>
      <c r="AI164" s="12" t="s">
        <v>4270</v>
      </c>
      <c r="AJ164" s="12" t="s">
        <v>4271</v>
      </c>
      <c r="AK164" s="12" t="s">
        <v>4270</v>
      </c>
      <c r="AL164" s="12" t="s">
        <v>4271</v>
      </c>
      <c r="AM164" s="12" t="s">
        <v>4270</v>
      </c>
      <c r="AN164" s="12" t="s">
        <v>4270</v>
      </c>
      <c r="AO164" s="12" t="s">
        <v>4270</v>
      </c>
      <c r="AP164" s="12" t="s">
        <v>4270</v>
      </c>
      <c r="AQ164" s="12" t="s">
        <v>4270</v>
      </c>
      <c r="AR164" s="12" t="s">
        <v>4270</v>
      </c>
      <c r="AS164" s="12" t="s">
        <v>4270</v>
      </c>
      <c r="AT164" s="12" t="s">
        <v>4271</v>
      </c>
      <c r="AU164" s="12" t="s">
        <v>4270</v>
      </c>
      <c r="AV164" s="12" t="s">
        <v>4270</v>
      </c>
      <c r="AX164" s="12" t="s">
        <v>4270</v>
      </c>
      <c r="AY164" s="12" t="s">
        <v>4270</v>
      </c>
      <c r="AZ164" s="12" t="s">
        <v>4270</v>
      </c>
      <c r="BA164" s="12" t="s">
        <v>4270</v>
      </c>
      <c r="BB164" s="12" t="s">
        <v>4270</v>
      </c>
      <c r="BC164" s="12" t="s">
        <v>4270</v>
      </c>
      <c r="BD164" s="12" t="s">
        <v>4273</v>
      </c>
      <c r="BE164" s="12" t="s">
        <v>4270</v>
      </c>
      <c r="BF164" s="12" t="s">
        <v>4271</v>
      </c>
      <c r="BG164" s="12" t="s">
        <v>4270</v>
      </c>
      <c r="BH164" s="12" t="s">
        <v>4270</v>
      </c>
      <c r="BI164" s="12" t="s">
        <v>4270</v>
      </c>
      <c r="BJ164" s="12" t="s">
        <v>4270</v>
      </c>
      <c r="BK164" s="12" t="s">
        <v>4271</v>
      </c>
      <c r="BL164" s="12" t="s">
        <v>4271</v>
      </c>
      <c r="BM164" s="12" t="s">
        <v>4270</v>
      </c>
      <c r="BN164" s="12" t="s">
        <v>4273</v>
      </c>
      <c r="BO164" s="12" t="s">
        <v>4270</v>
      </c>
      <c r="BP164" s="12" t="s">
        <v>4273</v>
      </c>
      <c r="BQ164" s="12" t="s">
        <v>4273</v>
      </c>
      <c r="BR164" s="12" t="s">
        <v>4273</v>
      </c>
      <c r="BS164" s="12" t="s">
        <v>4273</v>
      </c>
      <c r="BT164" s="12" t="s">
        <v>4273</v>
      </c>
    </row>
    <row r="166" spans="1:72" x14ac:dyDescent="0.2">
      <c r="G166" s="12" t="s">
        <v>4621</v>
      </c>
      <c r="H166" s="84">
        <f>H141/$I$141</f>
        <v>1.1000000000000001</v>
      </c>
      <c r="I166" s="84">
        <f t="shared" ref="I166:BT166" si="134">I141/$I$141</f>
        <v>1</v>
      </c>
      <c r="J166" s="84">
        <f t="shared" si="134"/>
        <v>1</v>
      </c>
      <c r="K166" s="84">
        <f t="shared" si="134"/>
        <v>1</v>
      </c>
      <c r="L166" s="84">
        <f t="shared" si="134"/>
        <v>1.1000000000000001</v>
      </c>
      <c r="M166" s="84">
        <f t="shared" si="134"/>
        <v>1.2</v>
      </c>
      <c r="N166" s="84">
        <f t="shared" si="134"/>
        <v>1</v>
      </c>
      <c r="O166" s="84">
        <f t="shared" si="134"/>
        <v>0.6</v>
      </c>
      <c r="P166" s="84">
        <f t="shared" si="134"/>
        <v>1.2</v>
      </c>
      <c r="Q166" s="84">
        <f t="shared" si="134"/>
        <v>0.9</v>
      </c>
      <c r="R166" s="84">
        <f t="shared" si="134"/>
        <v>0.9</v>
      </c>
      <c r="S166" s="84">
        <f t="shared" si="134"/>
        <v>1</v>
      </c>
      <c r="T166" s="84">
        <f t="shared" si="134"/>
        <v>0.4</v>
      </c>
      <c r="U166" s="84">
        <f t="shared" si="134"/>
        <v>0.5</v>
      </c>
      <c r="V166" s="84">
        <f t="shared" si="134"/>
        <v>0.8</v>
      </c>
      <c r="W166" s="84">
        <f t="shared" si="134"/>
        <v>1</v>
      </c>
      <c r="X166" s="84">
        <f t="shared" si="134"/>
        <v>1.1000000000000001</v>
      </c>
      <c r="Y166" s="84">
        <f t="shared" si="134"/>
        <v>1.1000000000000001</v>
      </c>
      <c r="Z166" s="84">
        <f t="shared" si="134"/>
        <v>1</v>
      </c>
      <c r="AA166" s="84">
        <f t="shared" si="134"/>
        <v>0.7</v>
      </c>
      <c r="AB166" s="84">
        <f t="shared" si="134"/>
        <v>1.1000000000000001</v>
      </c>
      <c r="AC166" s="84">
        <f t="shared" si="134"/>
        <v>1.1000000000000001</v>
      </c>
      <c r="AD166" s="84">
        <f t="shared" si="134"/>
        <v>0.5</v>
      </c>
      <c r="AE166" s="84">
        <f t="shared" si="134"/>
        <v>1.1000000000000001</v>
      </c>
      <c r="AF166" s="84">
        <f t="shared" si="134"/>
        <v>0.8</v>
      </c>
      <c r="AG166" s="84">
        <f t="shared" si="134"/>
        <v>1</v>
      </c>
      <c r="AH166" s="84">
        <f t="shared" si="134"/>
        <v>1.1000000000000001</v>
      </c>
      <c r="AI166" s="84">
        <f t="shared" si="134"/>
        <v>1</v>
      </c>
      <c r="AJ166" s="84">
        <f t="shared" si="134"/>
        <v>0.6</v>
      </c>
      <c r="AK166" s="84">
        <f t="shared" si="134"/>
        <v>1</v>
      </c>
      <c r="AL166" s="84">
        <f t="shared" si="134"/>
        <v>0.5</v>
      </c>
      <c r="AM166" s="84">
        <f t="shared" si="134"/>
        <v>1.1000000000000001</v>
      </c>
      <c r="AN166" s="84">
        <f t="shared" si="134"/>
        <v>1</v>
      </c>
      <c r="AO166" s="84">
        <f t="shared" si="134"/>
        <v>1</v>
      </c>
      <c r="AP166" s="84">
        <f t="shared" si="134"/>
        <v>0.9</v>
      </c>
      <c r="AQ166" s="84">
        <f t="shared" si="134"/>
        <v>1</v>
      </c>
      <c r="AR166" s="84">
        <f t="shared" si="134"/>
        <v>1.1000000000000001</v>
      </c>
      <c r="AS166" s="84">
        <f t="shared" si="134"/>
        <v>1.1000000000000001</v>
      </c>
      <c r="AT166" s="84">
        <f t="shared" si="134"/>
        <v>0.8</v>
      </c>
      <c r="AU166" s="84">
        <f t="shared" si="134"/>
        <v>1.2</v>
      </c>
      <c r="AV166" s="84">
        <f t="shared" si="134"/>
        <v>1.2</v>
      </c>
      <c r="AW166" s="84">
        <f t="shared" si="134"/>
        <v>0.6</v>
      </c>
      <c r="AX166" s="84">
        <f t="shared" si="134"/>
        <v>1</v>
      </c>
      <c r="AY166" s="84">
        <f t="shared" si="134"/>
        <v>1.2</v>
      </c>
      <c r="AZ166" s="84">
        <f t="shared" si="134"/>
        <v>1</v>
      </c>
      <c r="BA166" s="84">
        <f t="shared" si="134"/>
        <v>1</v>
      </c>
      <c r="BB166" s="84">
        <f t="shared" si="134"/>
        <v>1.2</v>
      </c>
      <c r="BC166" s="84">
        <f t="shared" si="134"/>
        <v>0.8</v>
      </c>
      <c r="BD166" s="84">
        <f t="shared" si="134"/>
        <v>2.2000000000000002</v>
      </c>
      <c r="BE166" s="84">
        <f t="shared" si="134"/>
        <v>0.8</v>
      </c>
      <c r="BF166" s="84">
        <f t="shared" si="134"/>
        <v>0.8</v>
      </c>
      <c r="BG166" s="84">
        <f t="shared" si="134"/>
        <v>1</v>
      </c>
      <c r="BH166" s="84">
        <f t="shared" si="134"/>
        <v>1.2</v>
      </c>
      <c r="BI166" s="84">
        <f t="shared" si="134"/>
        <v>1.2</v>
      </c>
      <c r="BJ166" s="84">
        <f t="shared" si="134"/>
        <v>1.2</v>
      </c>
      <c r="BK166" s="84">
        <f t="shared" si="134"/>
        <v>0.6</v>
      </c>
      <c r="BL166" s="84">
        <f t="shared" si="134"/>
        <v>0.6</v>
      </c>
      <c r="BM166" s="84">
        <f t="shared" si="134"/>
        <v>1</v>
      </c>
      <c r="BN166" s="84">
        <f t="shared" si="134"/>
        <v>1.4</v>
      </c>
      <c r="BO166" s="84">
        <f t="shared" si="134"/>
        <v>1</v>
      </c>
      <c r="BP166" s="84">
        <f t="shared" si="134"/>
        <v>2.4</v>
      </c>
      <c r="BQ166" s="84">
        <f t="shared" si="134"/>
        <v>1.8</v>
      </c>
      <c r="BR166" s="84">
        <f t="shared" si="134"/>
        <v>2.2000000000000002</v>
      </c>
      <c r="BS166" s="84">
        <f t="shared" si="134"/>
        <v>2</v>
      </c>
      <c r="BT166" s="84">
        <f t="shared" si="134"/>
        <v>1.8</v>
      </c>
    </row>
    <row r="167" spans="1:72" x14ac:dyDescent="0.2">
      <c r="C167" s="84"/>
      <c r="G167" s="12" t="s">
        <v>4622</v>
      </c>
      <c r="H167" s="85">
        <v>0.85</v>
      </c>
      <c r="I167" s="85">
        <f t="shared" ref="I167:AT167" si="135">IF(I164="Medium",100%,I166)</f>
        <v>1</v>
      </c>
      <c r="J167" s="85">
        <f t="shared" si="135"/>
        <v>1</v>
      </c>
      <c r="K167" s="85">
        <f t="shared" si="135"/>
        <v>1</v>
      </c>
      <c r="L167" s="85">
        <f t="shared" si="135"/>
        <v>1</v>
      </c>
      <c r="M167" s="85">
        <f t="shared" si="135"/>
        <v>1</v>
      </c>
      <c r="N167" s="85">
        <f t="shared" si="135"/>
        <v>1</v>
      </c>
      <c r="O167" s="85">
        <f t="shared" si="135"/>
        <v>0.6</v>
      </c>
      <c r="P167" s="85">
        <f t="shared" si="135"/>
        <v>1</v>
      </c>
      <c r="Q167" s="85">
        <v>0.85</v>
      </c>
      <c r="R167" s="85">
        <v>0.85</v>
      </c>
      <c r="S167" s="85">
        <f t="shared" si="135"/>
        <v>1</v>
      </c>
      <c r="T167" s="85">
        <f t="shared" si="135"/>
        <v>0.4</v>
      </c>
      <c r="U167" s="85">
        <f t="shared" si="135"/>
        <v>0.5</v>
      </c>
      <c r="V167" s="85">
        <f t="shared" si="135"/>
        <v>0.8</v>
      </c>
      <c r="W167" s="85">
        <f t="shared" si="135"/>
        <v>1</v>
      </c>
      <c r="X167" s="85">
        <f t="shared" si="135"/>
        <v>1</v>
      </c>
      <c r="Y167" s="85">
        <f t="shared" si="135"/>
        <v>1</v>
      </c>
      <c r="Z167" s="85">
        <f t="shared" si="135"/>
        <v>1</v>
      </c>
      <c r="AA167" s="85">
        <f t="shared" si="135"/>
        <v>1</v>
      </c>
      <c r="AB167" s="85">
        <f t="shared" si="135"/>
        <v>1</v>
      </c>
      <c r="AC167" s="85">
        <f t="shared" si="135"/>
        <v>1</v>
      </c>
      <c r="AD167" s="85">
        <f t="shared" si="135"/>
        <v>0.5</v>
      </c>
      <c r="AE167" s="85">
        <v>0.85</v>
      </c>
      <c r="AF167" s="85">
        <f t="shared" si="135"/>
        <v>1</v>
      </c>
      <c r="AG167" s="85">
        <f t="shared" si="135"/>
        <v>1</v>
      </c>
      <c r="AH167" s="85">
        <f t="shared" si="135"/>
        <v>1</v>
      </c>
      <c r="AI167" s="85">
        <f t="shared" si="135"/>
        <v>1</v>
      </c>
      <c r="AJ167" s="85">
        <f t="shared" si="135"/>
        <v>0.6</v>
      </c>
      <c r="AK167" s="85">
        <f t="shared" si="135"/>
        <v>1</v>
      </c>
      <c r="AL167" s="85">
        <f t="shared" si="135"/>
        <v>0.5</v>
      </c>
      <c r="AM167" s="85">
        <v>0.85</v>
      </c>
      <c r="AN167" s="85">
        <f t="shared" si="135"/>
        <v>1</v>
      </c>
      <c r="AO167" s="85">
        <f t="shared" si="135"/>
        <v>1</v>
      </c>
      <c r="AP167" s="85">
        <f t="shared" si="135"/>
        <v>1</v>
      </c>
      <c r="AQ167" s="85">
        <f t="shared" si="135"/>
        <v>1</v>
      </c>
      <c r="AR167" s="85">
        <v>0.85</v>
      </c>
      <c r="AS167" s="85">
        <v>0.85</v>
      </c>
      <c r="AT167" s="85">
        <f t="shared" si="135"/>
        <v>0.8</v>
      </c>
      <c r="AU167" s="85">
        <v>0.85</v>
      </c>
      <c r="AV167" s="85">
        <v>0.85</v>
      </c>
      <c r="AW167" s="85">
        <f t="shared" ref="AW167" si="136">IF(AW164="Medium",100%,AW166)</f>
        <v>0.6</v>
      </c>
      <c r="AX167" s="85">
        <f t="shared" ref="AX167" si="137">IF(AX164="Medium",100%,AX166)</f>
        <v>1</v>
      </c>
      <c r="AY167" s="85">
        <f t="shared" ref="AY167" si="138">IF(AY164="Medium",100%,AY166)</f>
        <v>1</v>
      </c>
      <c r="AZ167" s="85">
        <f t="shared" ref="AZ167" si="139">IF(AZ164="Medium",100%,AZ166)</f>
        <v>1</v>
      </c>
      <c r="BA167" s="85">
        <f t="shared" ref="BA167" si="140">IF(BA164="Medium",100%,BA166)</f>
        <v>1</v>
      </c>
      <c r="BB167" s="85">
        <f t="shared" ref="BB167" si="141">IF(BB164="Medium",100%,BB166)</f>
        <v>1</v>
      </c>
      <c r="BC167" s="85">
        <f t="shared" ref="BC167" si="142">IF(BC164="Medium",100%,BC166)</f>
        <v>1</v>
      </c>
      <c r="BD167" s="85">
        <f t="shared" ref="BD167" si="143">IF(BD164="Medium",100%,BD166)</f>
        <v>2.2000000000000002</v>
      </c>
      <c r="BE167" s="85">
        <f t="shared" ref="BE167" si="144">IF(BE164="Medium",100%,BE166)</f>
        <v>1</v>
      </c>
      <c r="BF167" s="85">
        <f t="shared" ref="BF167" si="145">IF(BF164="Medium",100%,BF166)</f>
        <v>0.8</v>
      </c>
      <c r="BG167" s="85">
        <f t="shared" ref="BG167" si="146">IF(BG164="Medium",100%,BG166)</f>
        <v>1</v>
      </c>
      <c r="BH167" s="85">
        <v>0.85</v>
      </c>
      <c r="BI167" s="85">
        <v>0.85</v>
      </c>
      <c r="BJ167" s="85">
        <f t="shared" ref="BJ167" si="147">IF(BJ164="Medium",100%,BJ166)</f>
        <v>1</v>
      </c>
      <c r="BK167" s="85">
        <f t="shared" ref="BK167" si="148">IF(BK164="Medium",100%,BK166)</f>
        <v>0.6</v>
      </c>
      <c r="BL167" s="85">
        <f t="shared" ref="BL167" si="149">IF(BL164="Medium",100%,BL166)</f>
        <v>0.6</v>
      </c>
      <c r="BM167" s="85">
        <f t="shared" ref="BM167" si="150">IF(BM164="Medium",100%,BM166)</f>
        <v>1</v>
      </c>
      <c r="BN167" s="85">
        <f t="shared" ref="BN167:BT167" si="151">IF(BN164="Medium",100%,BN166)</f>
        <v>1.4</v>
      </c>
      <c r="BO167" s="85">
        <f t="shared" ref="BO167" si="152">IF(BO164="Medium",100%,BO166)</f>
        <v>1</v>
      </c>
      <c r="BP167" s="85">
        <f t="shared" si="151"/>
        <v>2.4</v>
      </c>
      <c r="BQ167" s="85">
        <f t="shared" si="151"/>
        <v>1.8</v>
      </c>
      <c r="BR167" s="85">
        <f t="shared" si="151"/>
        <v>2.2000000000000002</v>
      </c>
      <c r="BS167" s="85">
        <f t="shared" si="151"/>
        <v>2</v>
      </c>
      <c r="BT167" s="85">
        <f t="shared" si="151"/>
        <v>1.8</v>
      </c>
    </row>
    <row r="168" spans="1:72" x14ac:dyDescent="0.2">
      <c r="C168" s="84"/>
    </row>
    <row r="169" spans="1:72" x14ac:dyDescent="0.2">
      <c r="C169" s="84"/>
    </row>
    <row r="170" spans="1:72" x14ac:dyDescent="0.2">
      <c r="A170" s="77"/>
      <c r="C170" s="84"/>
      <c r="G170" s="12">
        <f>HLOOKUP(Stats!M2,HW!H163:BR167,5,FALSE)</f>
        <v>1</v>
      </c>
    </row>
    <row r="182" spans="9:29" x14ac:dyDescent="0.2">
      <c r="I182" s="67"/>
      <c r="J182" s="67"/>
      <c r="K182" s="67"/>
      <c r="L182" s="67"/>
      <c r="M182" s="67"/>
      <c r="N182" s="67"/>
      <c r="O182" s="67"/>
      <c r="P182" s="67"/>
      <c r="Q182" s="67"/>
      <c r="R182" s="67"/>
      <c r="S182" s="67"/>
      <c r="T182" s="67"/>
      <c r="U182" s="67"/>
      <c r="V182" s="67"/>
      <c r="W182" s="67"/>
      <c r="X182" s="67"/>
      <c r="Y182" s="67"/>
      <c r="Z182" s="67"/>
      <c r="AA182" s="67"/>
      <c r="AB182" s="67"/>
      <c r="AC182" s="67"/>
    </row>
    <row r="183" spans="9:29" x14ac:dyDescent="0.2">
      <c r="I183" s="67"/>
      <c r="J183" s="67"/>
      <c r="K183" s="67"/>
      <c r="L183" s="67"/>
      <c r="M183" s="67"/>
      <c r="N183" s="67"/>
      <c r="O183" s="67"/>
      <c r="P183" s="67"/>
      <c r="Q183" s="67"/>
      <c r="R183" s="67"/>
      <c r="S183" s="67"/>
      <c r="T183" s="67"/>
      <c r="U183" s="67"/>
      <c r="V183" s="67"/>
      <c r="W183" s="67"/>
      <c r="X183" s="67"/>
      <c r="Y183" s="67"/>
      <c r="Z183" s="67"/>
      <c r="AA183" s="67"/>
      <c r="AB183" s="67"/>
      <c r="AC183" s="67"/>
    </row>
    <row r="184" spans="9:29" x14ac:dyDescent="0.2">
      <c r="I184" s="67"/>
      <c r="J184" s="67"/>
      <c r="K184" s="67"/>
      <c r="L184" s="67"/>
      <c r="M184" s="67"/>
      <c r="N184" s="67"/>
      <c r="O184" s="67"/>
      <c r="P184" s="67"/>
      <c r="Q184" s="67"/>
      <c r="R184" s="67"/>
      <c r="S184" s="67"/>
      <c r="T184" s="67"/>
      <c r="U184" s="67"/>
      <c r="V184" s="67"/>
      <c r="W184" s="67"/>
      <c r="X184" s="67"/>
      <c r="Y184" s="67"/>
      <c r="Z184" s="67"/>
      <c r="AA184" s="67"/>
      <c r="AB184" s="67"/>
      <c r="AC184" s="67"/>
    </row>
    <row r="185" spans="9:29" x14ac:dyDescent="0.2">
      <c r="I185" s="67"/>
      <c r="J185" s="67"/>
      <c r="K185" s="67"/>
      <c r="L185" s="67"/>
      <c r="M185" s="67"/>
      <c r="N185" s="67"/>
      <c r="O185" s="67"/>
      <c r="P185" s="67"/>
      <c r="Q185" s="67"/>
      <c r="R185" s="67"/>
      <c r="S185" s="67"/>
      <c r="T185" s="67"/>
      <c r="U185" s="67"/>
      <c r="V185" s="67"/>
      <c r="W185" s="67"/>
      <c r="X185" s="67"/>
      <c r="Y185" s="67"/>
      <c r="Z185" s="67"/>
      <c r="AA185" s="67"/>
      <c r="AB185" s="67"/>
      <c r="AC185" s="67"/>
    </row>
    <row r="186" spans="9:29" x14ac:dyDescent="0.2">
      <c r="I186" s="67"/>
      <c r="J186" s="67"/>
      <c r="K186" s="67"/>
      <c r="L186" s="67"/>
      <c r="M186" s="67"/>
      <c r="N186" s="67"/>
      <c r="O186" s="67"/>
      <c r="P186" s="67"/>
      <c r="Q186" s="67"/>
      <c r="R186" s="67"/>
      <c r="S186" s="67"/>
      <c r="T186" s="67"/>
      <c r="U186" s="67"/>
      <c r="V186" s="67"/>
      <c r="W186" s="67"/>
      <c r="X186" s="67"/>
      <c r="Y186" s="67"/>
      <c r="Z186" s="67"/>
      <c r="AA186" s="67"/>
      <c r="AB186" s="67"/>
      <c r="AC186" s="67"/>
    </row>
    <row r="187" spans="9:29" x14ac:dyDescent="0.2">
      <c r="I187" s="67"/>
      <c r="J187" s="67"/>
      <c r="K187" s="67"/>
      <c r="L187" s="67"/>
      <c r="M187" s="67"/>
      <c r="N187" s="67"/>
      <c r="O187" s="67"/>
      <c r="P187" s="67"/>
      <c r="Q187" s="67"/>
      <c r="R187" s="67"/>
      <c r="S187" s="67"/>
      <c r="T187" s="67"/>
      <c r="U187" s="67"/>
      <c r="V187" s="67"/>
      <c r="W187" s="67"/>
      <c r="X187" s="67"/>
      <c r="Y187" s="67"/>
      <c r="Z187" s="67"/>
      <c r="AA187" s="67"/>
      <c r="AB187" s="67"/>
      <c r="AC187" s="67"/>
    </row>
    <row r="188" spans="9:29" x14ac:dyDescent="0.2">
      <c r="I188" s="67"/>
      <c r="J188" s="67"/>
      <c r="K188" s="67"/>
      <c r="L188" s="67"/>
      <c r="M188" s="67"/>
      <c r="N188" s="67"/>
      <c r="O188" s="67"/>
      <c r="P188" s="67"/>
      <c r="Q188" s="67"/>
      <c r="R188" s="67"/>
      <c r="S188" s="67"/>
      <c r="T188" s="67"/>
      <c r="U188" s="67"/>
      <c r="V188" s="67"/>
      <c r="W188" s="67"/>
      <c r="X188" s="67"/>
      <c r="Y188" s="67"/>
      <c r="Z188" s="67"/>
      <c r="AA188" s="67"/>
      <c r="AB188" s="67"/>
      <c r="AC188" s="67"/>
    </row>
    <row r="189" spans="9:29" x14ac:dyDescent="0.2">
      <c r="I189" s="67"/>
      <c r="J189" s="67"/>
      <c r="K189" s="67"/>
      <c r="L189" s="67"/>
      <c r="M189" s="67"/>
      <c r="N189" s="67"/>
      <c r="O189" s="67"/>
      <c r="P189" s="67"/>
      <c r="Q189" s="67"/>
      <c r="R189" s="67"/>
      <c r="S189" s="67"/>
      <c r="T189" s="67"/>
      <c r="U189" s="67"/>
      <c r="V189" s="67"/>
      <c r="W189" s="67"/>
      <c r="X189" s="67"/>
      <c r="Y189" s="67"/>
      <c r="Z189" s="67"/>
      <c r="AA189" s="67"/>
      <c r="AB189" s="67"/>
      <c r="AC189" s="67"/>
    </row>
    <row r="190" spans="9:29" x14ac:dyDescent="0.2">
      <c r="I190" s="67"/>
      <c r="J190" s="67"/>
      <c r="K190" s="67"/>
      <c r="L190" s="67"/>
      <c r="M190" s="67"/>
      <c r="N190" s="67"/>
      <c r="O190" s="67"/>
      <c r="P190" s="67"/>
      <c r="Q190" s="67"/>
      <c r="R190" s="67"/>
      <c r="S190" s="67"/>
      <c r="T190" s="67"/>
      <c r="U190" s="67"/>
      <c r="V190" s="67"/>
      <c r="W190" s="67"/>
      <c r="X190" s="67"/>
      <c r="Y190" s="67"/>
      <c r="Z190" s="67"/>
      <c r="AA190" s="67"/>
      <c r="AB190" s="67"/>
      <c r="AC190" s="67"/>
    </row>
    <row r="191" spans="9:29" x14ac:dyDescent="0.2">
      <c r="I191" s="67"/>
      <c r="J191" s="67"/>
      <c r="K191" s="67"/>
      <c r="L191" s="67"/>
      <c r="M191" s="67"/>
      <c r="N191" s="67"/>
      <c r="O191" s="67"/>
      <c r="P191" s="67"/>
      <c r="Q191" s="67"/>
      <c r="R191" s="67"/>
      <c r="S191" s="67"/>
      <c r="T191" s="67"/>
      <c r="U191" s="67"/>
      <c r="V191" s="67"/>
      <c r="W191" s="67"/>
      <c r="X191" s="67"/>
      <c r="Y191" s="67"/>
      <c r="Z191" s="67"/>
      <c r="AA191" s="67"/>
      <c r="AB191" s="67"/>
      <c r="AC191" s="67"/>
    </row>
    <row r="192" spans="9:29" x14ac:dyDescent="0.2">
      <c r="I192" s="67"/>
      <c r="J192" s="67"/>
      <c r="K192" s="67"/>
      <c r="L192" s="67"/>
      <c r="M192" s="67"/>
      <c r="N192" s="67"/>
      <c r="O192" s="67"/>
      <c r="P192" s="67"/>
      <c r="Q192" s="67"/>
      <c r="R192" s="67"/>
      <c r="S192" s="67"/>
      <c r="T192" s="67"/>
      <c r="U192" s="67"/>
      <c r="V192" s="67"/>
      <c r="W192" s="67"/>
      <c r="X192" s="67"/>
      <c r="Y192" s="67"/>
      <c r="Z192" s="67"/>
      <c r="AA192" s="67"/>
      <c r="AB192" s="67"/>
      <c r="AC192" s="67"/>
    </row>
    <row r="193" spans="9:29" x14ac:dyDescent="0.2">
      <c r="I193" s="67"/>
      <c r="J193" s="67"/>
      <c r="K193" s="67"/>
      <c r="L193" s="67"/>
      <c r="M193" s="67"/>
      <c r="N193" s="67"/>
      <c r="O193" s="67"/>
      <c r="P193" s="67"/>
      <c r="Q193" s="67"/>
      <c r="R193" s="67"/>
      <c r="S193" s="67"/>
      <c r="T193" s="67"/>
      <c r="U193" s="67"/>
      <c r="V193" s="67"/>
      <c r="W193" s="67"/>
      <c r="X193" s="67"/>
      <c r="Y193" s="67"/>
      <c r="Z193" s="67"/>
      <c r="AA193" s="67"/>
      <c r="AB193" s="67"/>
      <c r="AC193" s="67"/>
    </row>
    <row r="194" spans="9:29" x14ac:dyDescent="0.2">
      <c r="I194" s="67"/>
      <c r="J194" s="67"/>
      <c r="K194" s="67"/>
      <c r="L194" s="67"/>
      <c r="M194" s="67"/>
      <c r="N194" s="67"/>
      <c r="O194" s="67"/>
      <c r="P194" s="67"/>
      <c r="Q194" s="67"/>
      <c r="R194" s="67"/>
      <c r="S194" s="67"/>
      <c r="T194" s="67"/>
      <c r="U194" s="67"/>
      <c r="V194" s="67"/>
      <c r="W194" s="67"/>
      <c r="X194" s="67"/>
      <c r="Y194" s="67"/>
      <c r="Z194" s="67"/>
      <c r="AA194" s="67"/>
      <c r="AB194" s="67"/>
      <c r="AC194" s="67"/>
    </row>
    <row r="195" spans="9:29" x14ac:dyDescent="0.2">
      <c r="I195" s="67"/>
      <c r="J195" s="67"/>
      <c r="K195" s="67"/>
      <c r="L195" s="67"/>
      <c r="M195" s="67"/>
      <c r="N195" s="67"/>
      <c r="O195" s="67"/>
      <c r="P195" s="67"/>
      <c r="Q195" s="67"/>
      <c r="R195" s="67"/>
      <c r="S195" s="67"/>
      <c r="T195" s="67"/>
      <c r="U195" s="67"/>
      <c r="V195" s="67"/>
      <c r="W195" s="67"/>
      <c r="X195" s="67"/>
      <c r="Y195" s="67"/>
      <c r="Z195" s="67"/>
      <c r="AA195" s="67"/>
      <c r="AB195" s="67"/>
      <c r="AC195" s="67"/>
    </row>
    <row r="196" spans="9:29" x14ac:dyDescent="0.2">
      <c r="I196" s="67"/>
      <c r="J196" s="67"/>
      <c r="K196" s="67"/>
      <c r="L196" s="67"/>
      <c r="M196" s="67"/>
      <c r="N196" s="67"/>
      <c r="O196" s="67"/>
      <c r="P196" s="67"/>
      <c r="Q196" s="67"/>
      <c r="R196" s="67"/>
      <c r="S196" s="67"/>
      <c r="T196" s="67"/>
      <c r="U196" s="67"/>
      <c r="V196" s="67"/>
      <c r="W196" s="67"/>
      <c r="X196" s="67"/>
      <c r="Y196" s="67"/>
      <c r="Z196" s="67"/>
      <c r="AA196" s="67"/>
      <c r="AB196" s="67"/>
      <c r="AC196" s="67"/>
    </row>
    <row r="197" spans="9:29" x14ac:dyDescent="0.2">
      <c r="I197" s="67"/>
      <c r="J197" s="67"/>
      <c r="K197" s="67"/>
      <c r="L197" s="67"/>
      <c r="M197" s="67"/>
      <c r="N197" s="67"/>
      <c r="O197" s="67"/>
      <c r="P197" s="67"/>
      <c r="Q197" s="67"/>
      <c r="R197" s="67"/>
      <c r="S197" s="67"/>
      <c r="T197" s="67"/>
      <c r="U197" s="67"/>
      <c r="V197" s="67"/>
      <c r="W197" s="67"/>
      <c r="X197" s="67"/>
      <c r="Y197" s="67"/>
      <c r="Z197" s="67"/>
      <c r="AA197" s="67"/>
      <c r="AB197" s="67"/>
      <c r="AC197" s="67"/>
    </row>
    <row r="198" spans="9:29" x14ac:dyDescent="0.2">
      <c r="I198" s="67"/>
      <c r="J198" s="67"/>
      <c r="K198" s="67"/>
      <c r="L198" s="67"/>
      <c r="M198" s="67"/>
      <c r="N198" s="67"/>
      <c r="O198" s="67"/>
      <c r="P198" s="67"/>
      <c r="Q198" s="67"/>
      <c r="R198" s="67"/>
      <c r="S198" s="67"/>
      <c r="T198" s="67"/>
      <c r="U198" s="67"/>
      <c r="V198" s="67"/>
      <c r="W198" s="67"/>
      <c r="X198" s="67"/>
      <c r="Y198" s="67"/>
      <c r="Z198" s="67"/>
      <c r="AA198" s="67"/>
      <c r="AB198" s="67"/>
      <c r="AC198" s="67"/>
    </row>
    <row r="199" spans="9:29" x14ac:dyDescent="0.2">
      <c r="I199" s="67"/>
      <c r="J199" s="67"/>
      <c r="K199" s="67"/>
      <c r="L199" s="67"/>
      <c r="M199" s="67"/>
      <c r="N199" s="67"/>
      <c r="O199" s="67"/>
      <c r="P199" s="67"/>
      <c r="Q199" s="67"/>
      <c r="R199" s="67"/>
      <c r="S199" s="67"/>
      <c r="T199" s="67"/>
      <c r="U199" s="67"/>
      <c r="V199" s="67"/>
      <c r="W199" s="67"/>
      <c r="X199" s="67"/>
      <c r="Y199" s="67"/>
      <c r="Z199" s="67"/>
      <c r="AA199" s="67"/>
      <c r="AB199" s="67"/>
      <c r="AC199" s="67"/>
    </row>
    <row r="200" spans="9:29" x14ac:dyDescent="0.2">
      <c r="I200" s="67"/>
      <c r="J200" s="67"/>
      <c r="K200" s="67"/>
      <c r="L200" s="67"/>
      <c r="M200" s="67"/>
      <c r="N200" s="67"/>
      <c r="O200" s="67"/>
      <c r="P200" s="67"/>
      <c r="Q200" s="67"/>
      <c r="R200" s="67"/>
      <c r="S200" s="67"/>
      <c r="T200" s="67"/>
      <c r="U200" s="67"/>
      <c r="V200" s="67"/>
      <c r="W200" s="67"/>
      <c r="X200" s="67"/>
      <c r="Y200" s="67"/>
      <c r="Z200" s="67"/>
      <c r="AA200" s="67"/>
      <c r="AB200" s="67"/>
      <c r="AC200" s="67"/>
    </row>
    <row r="201" spans="9:29" x14ac:dyDescent="0.2">
      <c r="I201" s="67"/>
      <c r="J201" s="67"/>
      <c r="K201" s="67"/>
      <c r="L201" s="67"/>
      <c r="M201" s="67"/>
      <c r="N201" s="67"/>
      <c r="O201" s="67"/>
      <c r="P201" s="67"/>
      <c r="Q201" s="67"/>
      <c r="R201" s="67"/>
      <c r="S201" s="67"/>
      <c r="T201" s="67"/>
      <c r="U201" s="67"/>
      <c r="V201" s="67"/>
      <c r="W201" s="67"/>
      <c r="X201" s="67"/>
      <c r="Y201" s="67"/>
      <c r="Z201" s="67"/>
      <c r="AA201" s="67"/>
      <c r="AB201" s="67"/>
      <c r="AC201" s="67"/>
    </row>
    <row r="202" spans="9:29" x14ac:dyDescent="0.2">
      <c r="I202" s="67"/>
      <c r="J202" s="67"/>
      <c r="K202" s="67"/>
      <c r="L202" s="67"/>
      <c r="M202" s="67"/>
      <c r="N202" s="67"/>
      <c r="O202" s="67"/>
      <c r="P202" s="67"/>
      <c r="Q202" s="67"/>
      <c r="R202" s="67"/>
      <c r="S202" s="67"/>
      <c r="T202" s="67"/>
      <c r="U202" s="67"/>
      <c r="V202" s="67"/>
      <c r="W202" s="67"/>
      <c r="X202" s="67"/>
      <c r="Y202" s="67"/>
      <c r="Z202" s="67"/>
      <c r="AA202" s="67"/>
      <c r="AB202" s="67"/>
      <c r="AC202" s="67"/>
    </row>
  </sheetData>
  <sheetProtection selectLockedCells="1" selectUnlockedCells="1"/>
  <pageMargins left="0.78749999999999998" right="0.78749999999999998" top="1.0527777777777778" bottom="1.0527777777777778" header="0.78749999999999998" footer="0.78749999999999998"/>
  <pageSetup paperSize="9" firstPageNumber="0" orientation="portrait" horizontalDpi="300" verticalDpi="300" r:id="rId1"/>
  <headerFooter alignWithMargins="0">
    <oddHeader>&amp;C&amp;"Times New Roman,Normaali"&amp;12&amp;A</oddHeader>
    <oddFooter>&amp;C&amp;"Times New Roman,Normaali"&amp;12Sivu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L278"/>
  <sheetViews>
    <sheetView topLeftCell="A37" zoomScale="115" zoomScaleNormal="115" workbookViewId="0">
      <selection activeCell="C44" sqref="C44"/>
    </sheetView>
  </sheetViews>
  <sheetFormatPr defaultColWidth="11.5703125" defaultRowHeight="9" x14ac:dyDescent="0.15"/>
  <cols>
    <col min="1" max="1" width="28.5703125" style="77" customWidth="1"/>
    <col min="2" max="2" width="8.140625" style="77" customWidth="1"/>
    <col min="3" max="3" width="37.7109375" style="361" bestFit="1" customWidth="1"/>
    <col min="4" max="5" width="16.7109375" style="77" customWidth="1"/>
    <col min="6" max="6" width="7.28515625" style="77" customWidth="1"/>
    <col min="7" max="7" width="16.140625" style="77" bestFit="1" customWidth="1"/>
    <col min="8" max="9" width="11.5703125" style="77"/>
    <col min="10" max="10" width="70.42578125" style="77" bestFit="1" customWidth="1"/>
    <col min="11" max="16384" width="11.5703125" style="77"/>
  </cols>
  <sheetData>
    <row r="1" spans="1:12" x14ac:dyDescent="0.15">
      <c r="A1" s="77" t="s">
        <v>5025</v>
      </c>
      <c r="B1" s="77" t="s">
        <v>325</v>
      </c>
      <c r="C1" s="361" t="s">
        <v>3514</v>
      </c>
      <c r="D1" s="77" t="s">
        <v>3515</v>
      </c>
      <c r="E1" s="78" t="s">
        <v>5187</v>
      </c>
      <c r="F1" s="77" t="s">
        <v>325</v>
      </c>
      <c r="G1" s="77" t="s">
        <v>3514</v>
      </c>
      <c r="H1" s="77" t="s">
        <v>3515</v>
      </c>
      <c r="I1" s="77" t="s">
        <v>1142</v>
      </c>
      <c r="J1" s="77" t="s">
        <v>4942</v>
      </c>
      <c r="K1" s="77" t="s">
        <v>1142</v>
      </c>
      <c r="L1" s="77" t="s">
        <v>4986</v>
      </c>
    </row>
    <row r="2" spans="1:12" x14ac:dyDescent="0.15">
      <c r="A2" s="78"/>
      <c r="E2" s="78"/>
      <c r="I2" s="77">
        <v>1</v>
      </c>
      <c r="J2" s="77" t="s">
        <v>4945</v>
      </c>
      <c r="K2" s="77">
        <v>1</v>
      </c>
      <c r="L2" s="77" t="s">
        <v>4987</v>
      </c>
    </row>
    <row r="3" spans="1:12" x14ac:dyDescent="0.15">
      <c r="A3" s="78" t="s">
        <v>3516</v>
      </c>
      <c r="E3" s="78" t="s">
        <v>5187</v>
      </c>
      <c r="I3" s="77">
        <v>2</v>
      </c>
      <c r="J3" s="77" t="s">
        <v>4945</v>
      </c>
      <c r="K3" s="77">
        <v>2</v>
      </c>
      <c r="L3" s="77" t="s">
        <v>4987</v>
      </c>
    </row>
    <row r="4" spans="1:12" x14ac:dyDescent="0.15">
      <c r="A4" s="77" t="s">
        <v>3518</v>
      </c>
      <c r="B4" s="77">
        <v>7</v>
      </c>
      <c r="C4" s="361" t="s">
        <v>5022</v>
      </c>
      <c r="D4" s="77" t="s">
        <v>3519</v>
      </c>
      <c r="E4" s="77" t="s">
        <v>3520</v>
      </c>
      <c r="F4" s="77">
        <v>-10</v>
      </c>
      <c r="G4" s="77" t="s">
        <v>5298</v>
      </c>
      <c r="H4" s="77" t="s">
        <v>3517</v>
      </c>
      <c r="I4" s="77">
        <v>3</v>
      </c>
      <c r="J4" s="77" t="s">
        <v>4946</v>
      </c>
      <c r="K4" s="77">
        <v>3</v>
      </c>
      <c r="L4" s="77" t="s">
        <v>4987</v>
      </c>
    </row>
    <row r="5" spans="1:12" x14ac:dyDescent="0.15">
      <c r="A5" s="77" t="s">
        <v>5024</v>
      </c>
      <c r="B5" s="77">
        <v>6</v>
      </c>
      <c r="C5" s="361" t="s">
        <v>5023</v>
      </c>
      <c r="D5" s="77" t="s">
        <v>3519</v>
      </c>
      <c r="E5" s="77" t="s">
        <v>3521</v>
      </c>
      <c r="F5" s="77">
        <v>-10</v>
      </c>
      <c r="G5" s="77" t="s">
        <v>5299</v>
      </c>
      <c r="H5" s="77" t="s">
        <v>3517</v>
      </c>
      <c r="I5" s="77">
        <v>4</v>
      </c>
      <c r="J5" s="77" t="s">
        <v>4946</v>
      </c>
      <c r="K5" s="77">
        <v>4</v>
      </c>
      <c r="L5" s="77" t="s">
        <v>4987</v>
      </c>
    </row>
    <row r="6" spans="1:12" x14ac:dyDescent="0.15">
      <c r="A6" s="77" t="s">
        <v>3522</v>
      </c>
      <c r="B6" s="77">
        <v>10</v>
      </c>
      <c r="C6" s="361" t="s">
        <v>3523</v>
      </c>
      <c r="D6" s="77" t="s">
        <v>3519</v>
      </c>
      <c r="E6" s="77" t="s">
        <v>3524</v>
      </c>
      <c r="F6" s="77">
        <v>-5</v>
      </c>
      <c r="G6" s="77" t="s">
        <v>5300</v>
      </c>
      <c r="H6" s="77" t="s">
        <v>3517</v>
      </c>
      <c r="I6" s="77">
        <v>5</v>
      </c>
      <c r="J6" s="77" t="s">
        <v>4947</v>
      </c>
      <c r="K6" s="77">
        <v>5</v>
      </c>
      <c r="L6" s="77" t="s">
        <v>4987</v>
      </c>
    </row>
    <row r="7" spans="1:12" x14ac:dyDescent="0.15">
      <c r="A7" s="77" t="s">
        <v>3525</v>
      </c>
      <c r="B7" s="77">
        <v>30</v>
      </c>
      <c r="C7" s="361" t="s">
        <v>3526</v>
      </c>
      <c r="D7" s="77" t="s">
        <v>3519</v>
      </c>
      <c r="E7" s="77" t="s">
        <v>3527</v>
      </c>
      <c r="F7" s="77">
        <v>-3</v>
      </c>
      <c r="G7" s="77" t="s">
        <v>5301</v>
      </c>
      <c r="H7" s="77" t="s">
        <v>3517</v>
      </c>
      <c r="I7" s="77">
        <v>6</v>
      </c>
      <c r="J7" s="77" t="s">
        <v>4947</v>
      </c>
      <c r="K7" s="77">
        <v>6</v>
      </c>
      <c r="L7" s="77" t="s">
        <v>4988</v>
      </c>
    </row>
    <row r="8" spans="1:12" x14ac:dyDescent="0.15">
      <c r="A8" s="77" t="s">
        <v>3528</v>
      </c>
      <c r="B8" s="77">
        <v>8</v>
      </c>
      <c r="C8" s="361" t="s">
        <v>3529</v>
      </c>
      <c r="D8" s="77" t="s">
        <v>3519</v>
      </c>
      <c r="E8" s="77" t="s">
        <v>3530</v>
      </c>
      <c r="F8" s="77">
        <v>-50</v>
      </c>
      <c r="G8" s="77" t="s">
        <v>5302</v>
      </c>
      <c r="H8" s="77" t="s">
        <v>3517</v>
      </c>
      <c r="I8" s="77">
        <v>7</v>
      </c>
      <c r="J8" s="77" t="s">
        <v>4948</v>
      </c>
      <c r="K8" s="77">
        <v>7</v>
      </c>
      <c r="L8" s="77" t="s">
        <v>4988</v>
      </c>
    </row>
    <row r="9" spans="1:12" x14ac:dyDescent="0.15">
      <c r="A9" s="77" t="s">
        <v>340</v>
      </c>
      <c r="B9" s="77">
        <v>8</v>
      </c>
      <c r="C9" s="361" t="s">
        <v>3531</v>
      </c>
      <c r="D9" s="77" t="s">
        <v>3519</v>
      </c>
      <c r="E9" s="77" t="s">
        <v>3532</v>
      </c>
      <c r="F9" s="77">
        <v>-20</v>
      </c>
      <c r="G9" s="77" t="s">
        <v>5303</v>
      </c>
      <c r="H9" s="77" t="s">
        <v>3517</v>
      </c>
      <c r="I9" s="77">
        <v>8</v>
      </c>
      <c r="J9" s="77" t="s">
        <v>4948</v>
      </c>
      <c r="K9" s="77">
        <v>8</v>
      </c>
      <c r="L9" s="77" t="s">
        <v>4988</v>
      </c>
    </row>
    <row r="10" spans="1:12" x14ac:dyDescent="0.15">
      <c r="A10" s="77" t="s">
        <v>3533</v>
      </c>
      <c r="B10" s="77">
        <v>5</v>
      </c>
      <c r="C10" s="361" t="s">
        <v>5026</v>
      </c>
      <c r="D10" s="77" t="s">
        <v>3519</v>
      </c>
      <c r="E10" s="77" t="s">
        <v>3534</v>
      </c>
      <c r="F10" s="77">
        <v>-10</v>
      </c>
      <c r="G10" s="77" t="s">
        <v>5304</v>
      </c>
      <c r="H10" s="77" t="s">
        <v>3517</v>
      </c>
      <c r="I10" s="77">
        <v>9</v>
      </c>
      <c r="J10" s="77" t="s">
        <v>4949</v>
      </c>
      <c r="K10" s="77">
        <v>9</v>
      </c>
      <c r="L10" s="77" t="s">
        <v>4988</v>
      </c>
    </row>
    <row r="11" spans="1:12" x14ac:dyDescent="0.15">
      <c r="A11" s="77" t="s">
        <v>3535</v>
      </c>
      <c r="B11" s="77">
        <v>20</v>
      </c>
      <c r="C11" s="361" t="s">
        <v>5027</v>
      </c>
      <c r="D11" s="77" t="s">
        <v>3519</v>
      </c>
      <c r="E11" s="77" t="s">
        <v>3536</v>
      </c>
      <c r="F11" s="77">
        <v>-5</v>
      </c>
      <c r="G11" s="77" t="s">
        <v>5305</v>
      </c>
      <c r="H11" s="77" t="s">
        <v>3517</v>
      </c>
      <c r="I11" s="77">
        <v>10</v>
      </c>
      <c r="J11" s="77" t="s">
        <v>4949</v>
      </c>
      <c r="K11" s="77">
        <v>10</v>
      </c>
      <c r="L11" s="77" t="s">
        <v>4988</v>
      </c>
    </row>
    <row r="12" spans="1:12" x14ac:dyDescent="0.15">
      <c r="A12" s="77" t="s">
        <v>3537</v>
      </c>
      <c r="B12" s="77">
        <v>6</v>
      </c>
      <c r="C12" s="361" t="s">
        <v>5028</v>
      </c>
      <c r="D12" s="77" t="s">
        <v>3519</v>
      </c>
      <c r="E12" s="77" t="s">
        <v>3538</v>
      </c>
      <c r="F12" s="77">
        <v>-10</v>
      </c>
      <c r="G12" s="77" t="s">
        <v>5306</v>
      </c>
      <c r="H12" s="77" t="s">
        <v>3517</v>
      </c>
      <c r="I12" s="77">
        <v>11</v>
      </c>
      <c r="J12" s="77" t="s">
        <v>4950</v>
      </c>
      <c r="K12" s="77">
        <v>11</v>
      </c>
      <c r="L12" s="77" t="s">
        <v>4989</v>
      </c>
    </row>
    <row r="13" spans="1:12" x14ac:dyDescent="0.15">
      <c r="A13" s="77" t="s">
        <v>3539</v>
      </c>
      <c r="B13" s="77">
        <v>15</v>
      </c>
      <c r="C13" s="361" t="s">
        <v>5029</v>
      </c>
      <c r="D13" s="77" t="s">
        <v>3519</v>
      </c>
      <c r="E13" s="77" t="s">
        <v>3540</v>
      </c>
      <c r="F13" s="77">
        <v>-15</v>
      </c>
      <c r="G13" s="77" t="s">
        <v>5307</v>
      </c>
      <c r="H13" s="77" t="s">
        <v>3517</v>
      </c>
      <c r="I13" s="77">
        <v>12</v>
      </c>
      <c r="J13" s="77" t="s">
        <v>4950</v>
      </c>
      <c r="K13" s="77">
        <v>12</v>
      </c>
      <c r="L13" s="77" t="s">
        <v>4989</v>
      </c>
    </row>
    <row r="14" spans="1:12" x14ac:dyDescent="0.15">
      <c r="A14" s="77" t="s">
        <v>3541</v>
      </c>
      <c r="B14" s="77">
        <v>15</v>
      </c>
      <c r="C14" s="361" t="s">
        <v>5030</v>
      </c>
      <c r="D14" s="77" t="s">
        <v>3519</v>
      </c>
      <c r="E14" s="77" t="s">
        <v>3542</v>
      </c>
      <c r="F14" s="77">
        <v>-5</v>
      </c>
      <c r="G14" s="77" t="s">
        <v>5308</v>
      </c>
      <c r="H14" s="77" t="s">
        <v>3517</v>
      </c>
      <c r="I14" s="77">
        <v>13</v>
      </c>
      <c r="J14" s="77" t="s">
        <v>4951</v>
      </c>
      <c r="K14" s="77">
        <v>13</v>
      </c>
      <c r="L14" s="77" t="s">
        <v>4989</v>
      </c>
    </row>
    <row r="15" spans="1:12" x14ac:dyDescent="0.15">
      <c r="A15" s="77" t="s">
        <v>3544</v>
      </c>
      <c r="B15" s="77">
        <v>5</v>
      </c>
      <c r="C15" s="361" t="s">
        <v>5031</v>
      </c>
      <c r="D15" s="77" t="s">
        <v>3519</v>
      </c>
      <c r="E15" s="77" t="s">
        <v>3543</v>
      </c>
      <c r="F15" s="77">
        <v>-15</v>
      </c>
      <c r="G15" s="77" t="s">
        <v>5309</v>
      </c>
      <c r="H15" s="77" t="s">
        <v>3517</v>
      </c>
      <c r="I15" s="77">
        <v>14</v>
      </c>
      <c r="J15" s="77" t="s">
        <v>4951</v>
      </c>
      <c r="K15" s="77">
        <v>14</v>
      </c>
      <c r="L15" s="77" t="s">
        <v>4989</v>
      </c>
    </row>
    <row r="16" spans="1:12" x14ac:dyDescent="0.15">
      <c r="A16" s="77" t="s">
        <v>3546</v>
      </c>
      <c r="B16" s="77">
        <v>5</v>
      </c>
      <c r="C16" s="361" t="s">
        <v>5032</v>
      </c>
      <c r="D16" s="77" t="s">
        <v>3519</v>
      </c>
      <c r="E16" s="77" t="s">
        <v>3545</v>
      </c>
      <c r="F16" s="77">
        <v>-25</v>
      </c>
      <c r="G16" s="77" t="s">
        <v>5310</v>
      </c>
      <c r="H16" s="77" t="s">
        <v>3517</v>
      </c>
      <c r="I16" s="77">
        <v>15</v>
      </c>
      <c r="J16" s="77" t="s">
        <v>4952</v>
      </c>
      <c r="K16" s="77">
        <v>15</v>
      </c>
      <c r="L16" s="77" t="s">
        <v>4989</v>
      </c>
    </row>
    <row r="17" spans="1:12" x14ac:dyDescent="0.15">
      <c r="A17" s="77" t="s">
        <v>3548</v>
      </c>
      <c r="B17" s="77">
        <v>30</v>
      </c>
      <c r="C17" s="361" t="s">
        <v>5033</v>
      </c>
      <c r="D17" s="77" t="s">
        <v>3519</v>
      </c>
      <c r="E17" s="77" t="s">
        <v>3547</v>
      </c>
      <c r="F17" s="77">
        <v>-35</v>
      </c>
      <c r="G17" s="77" t="s">
        <v>5311</v>
      </c>
      <c r="H17" s="77" t="s">
        <v>3517</v>
      </c>
      <c r="I17" s="77">
        <v>16</v>
      </c>
      <c r="J17" s="77" t="s">
        <v>4952</v>
      </c>
      <c r="K17" s="77">
        <v>16</v>
      </c>
      <c r="L17" s="77" t="s">
        <v>4990</v>
      </c>
    </row>
    <row r="18" spans="1:12" x14ac:dyDescent="0.15">
      <c r="A18" s="77" t="s">
        <v>3550</v>
      </c>
      <c r="B18" s="77">
        <v>5</v>
      </c>
      <c r="C18" s="361" t="s">
        <v>5034</v>
      </c>
      <c r="D18" s="77" t="s">
        <v>3519</v>
      </c>
      <c r="E18" s="77" t="s">
        <v>3549</v>
      </c>
      <c r="F18" s="77">
        <v>-20</v>
      </c>
      <c r="G18" s="77" t="s">
        <v>5312</v>
      </c>
      <c r="H18" s="77" t="s">
        <v>3517</v>
      </c>
      <c r="I18" s="77">
        <v>17</v>
      </c>
      <c r="J18" s="77" t="s">
        <v>4953</v>
      </c>
      <c r="K18" s="77">
        <v>17</v>
      </c>
      <c r="L18" s="77" t="s">
        <v>4990</v>
      </c>
    </row>
    <row r="19" spans="1:12" x14ac:dyDescent="0.15">
      <c r="A19" s="77" t="s">
        <v>3552</v>
      </c>
      <c r="B19" s="77">
        <v>10</v>
      </c>
      <c r="C19" s="361" t="s">
        <v>5035</v>
      </c>
      <c r="D19" s="77" t="s">
        <v>3519</v>
      </c>
      <c r="E19" s="77" t="s">
        <v>3551</v>
      </c>
      <c r="F19" s="77">
        <v>-10</v>
      </c>
      <c r="G19" s="77" t="s">
        <v>5314</v>
      </c>
      <c r="H19" s="77" t="s">
        <v>3517</v>
      </c>
      <c r="I19" s="77">
        <v>18</v>
      </c>
      <c r="J19" s="77" t="s">
        <v>4953</v>
      </c>
      <c r="K19" s="77">
        <v>18</v>
      </c>
      <c r="L19" s="77" t="s">
        <v>4990</v>
      </c>
    </row>
    <row r="20" spans="1:12" x14ac:dyDescent="0.15">
      <c r="A20" s="77" t="s">
        <v>3554</v>
      </c>
      <c r="B20" s="77">
        <v>20</v>
      </c>
      <c r="C20" s="361" t="s">
        <v>5036</v>
      </c>
      <c r="D20" s="77" t="s">
        <v>3519</v>
      </c>
      <c r="E20" s="77" t="s">
        <v>3553</v>
      </c>
      <c r="F20" s="77">
        <v>-30</v>
      </c>
      <c r="G20" s="77" t="s">
        <v>5313</v>
      </c>
      <c r="H20" s="77" t="s">
        <v>3517</v>
      </c>
      <c r="I20" s="77">
        <v>19</v>
      </c>
      <c r="J20" s="77" t="s">
        <v>4954</v>
      </c>
      <c r="K20" s="77">
        <v>19</v>
      </c>
      <c r="L20" s="77" t="s">
        <v>4990</v>
      </c>
    </row>
    <row r="21" spans="1:12" x14ac:dyDescent="0.15">
      <c r="A21" s="77" t="s">
        <v>3557</v>
      </c>
      <c r="B21" s="77">
        <v>5</v>
      </c>
      <c r="C21" s="361" t="s">
        <v>5037</v>
      </c>
      <c r="D21" s="77" t="s">
        <v>3519</v>
      </c>
      <c r="E21" s="77" t="s">
        <v>3555</v>
      </c>
      <c r="F21" s="77">
        <v>-5</v>
      </c>
      <c r="G21" s="77" t="s">
        <v>5315</v>
      </c>
      <c r="H21" s="77" t="s">
        <v>3517</v>
      </c>
      <c r="I21" s="77">
        <v>20</v>
      </c>
      <c r="J21" s="77" t="s">
        <v>4954</v>
      </c>
      <c r="K21" s="77">
        <v>20</v>
      </c>
      <c r="L21" s="77" t="s">
        <v>4990</v>
      </c>
    </row>
    <row r="22" spans="1:12" x14ac:dyDescent="0.15">
      <c r="A22" s="77" t="s">
        <v>3559</v>
      </c>
      <c r="B22" s="77">
        <v>7</v>
      </c>
      <c r="C22" s="361" t="s">
        <v>5038</v>
      </c>
      <c r="D22" s="77" t="s">
        <v>3519</v>
      </c>
      <c r="E22" s="77" t="s">
        <v>3556</v>
      </c>
      <c r="F22" s="77">
        <v>-5</v>
      </c>
      <c r="G22" s="77" t="s">
        <v>5316</v>
      </c>
      <c r="H22" s="77" t="s">
        <v>3517</v>
      </c>
      <c r="I22" s="77">
        <v>21</v>
      </c>
      <c r="J22" s="77" t="s">
        <v>4955</v>
      </c>
      <c r="K22" s="77">
        <v>21</v>
      </c>
      <c r="L22" s="77" t="s">
        <v>4991</v>
      </c>
    </row>
    <row r="23" spans="1:12" x14ac:dyDescent="0.15">
      <c r="A23" s="77" t="s">
        <v>3561</v>
      </c>
      <c r="B23" s="77">
        <v>7</v>
      </c>
      <c r="C23" s="361" t="s">
        <v>5039</v>
      </c>
      <c r="D23" s="77" t="s">
        <v>3519</v>
      </c>
      <c r="E23" s="77" t="s">
        <v>3558</v>
      </c>
      <c r="F23" s="77">
        <v>-10</v>
      </c>
      <c r="G23" s="77" t="s">
        <v>5317</v>
      </c>
      <c r="H23" s="77" t="s">
        <v>3517</v>
      </c>
      <c r="I23" s="77">
        <v>22</v>
      </c>
      <c r="J23" s="77" t="s">
        <v>4955</v>
      </c>
      <c r="K23" s="77">
        <v>22</v>
      </c>
      <c r="L23" s="77" t="s">
        <v>4991</v>
      </c>
    </row>
    <row r="24" spans="1:12" x14ac:dyDescent="0.15">
      <c r="A24" s="77" t="s">
        <v>3563</v>
      </c>
      <c r="B24" s="77">
        <v>5</v>
      </c>
      <c r="C24" s="361" t="s">
        <v>5040</v>
      </c>
      <c r="D24" s="77" t="s">
        <v>3519</v>
      </c>
      <c r="E24" s="77" t="s">
        <v>3560</v>
      </c>
      <c r="F24" s="77">
        <v>-10</v>
      </c>
      <c r="G24" s="77" t="s">
        <v>5318</v>
      </c>
      <c r="H24" s="77" t="s">
        <v>3517</v>
      </c>
      <c r="I24" s="77">
        <v>23</v>
      </c>
      <c r="J24" s="77" t="s">
        <v>4956</v>
      </c>
      <c r="K24" s="77">
        <v>23</v>
      </c>
      <c r="L24" s="77" t="s">
        <v>4991</v>
      </c>
    </row>
    <row r="25" spans="1:12" x14ac:dyDescent="0.15">
      <c r="A25" s="77" t="s">
        <v>3565</v>
      </c>
      <c r="B25" s="77">
        <v>10</v>
      </c>
      <c r="C25" s="361" t="s">
        <v>5041</v>
      </c>
      <c r="D25" s="77" t="s">
        <v>3519</v>
      </c>
      <c r="E25" s="77" t="s">
        <v>3562</v>
      </c>
      <c r="F25" s="77">
        <v>-15</v>
      </c>
      <c r="G25" s="77" t="s">
        <v>5319</v>
      </c>
      <c r="H25" s="77" t="s">
        <v>3517</v>
      </c>
      <c r="I25" s="77">
        <v>24</v>
      </c>
      <c r="J25" s="77" t="s">
        <v>4956</v>
      </c>
      <c r="K25" s="77">
        <v>24</v>
      </c>
      <c r="L25" s="77" t="s">
        <v>4991</v>
      </c>
    </row>
    <row r="26" spans="1:12" x14ac:dyDescent="0.15">
      <c r="A26" s="77" t="s">
        <v>3567</v>
      </c>
      <c r="B26" s="77">
        <v>15</v>
      </c>
      <c r="C26" s="361" t="s">
        <v>5042</v>
      </c>
      <c r="D26" s="77" t="s">
        <v>3519</v>
      </c>
      <c r="E26" s="77" t="s">
        <v>3564</v>
      </c>
      <c r="F26" s="77">
        <v>-5</v>
      </c>
      <c r="G26" s="77" t="s">
        <v>5320</v>
      </c>
      <c r="H26" s="77" t="s">
        <v>3517</v>
      </c>
      <c r="I26" s="77">
        <v>25</v>
      </c>
      <c r="J26" s="77" t="s">
        <v>4957</v>
      </c>
      <c r="K26" s="77">
        <v>25</v>
      </c>
      <c r="L26" s="77" t="s">
        <v>4991</v>
      </c>
    </row>
    <row r="27" spans="1:12" x14ac:dyDescent="0.15">
      <c r="A27" s="77" t="s">
        <v>3569</v>
      </c>
      <c r="B27" s="77">
        <v>20</v>
      </c>
      <c r="C27" s="361" t="s">
        <v>5043</v>
      </c>
      <c r="D27" s="77" t="s">
        <v>3519</v>
      </c>
      <c r="E27" s="77" t="s">
        <v>3566</v>
      </c>
      <c r="F27" s="77">
        <v>-15</v>
      </c>
      <c r="G27" s="77" t="s">
        <v>5321</v>
      </c>
      <c r="H27" s="77" t="s">
        <v>3517</v>
      </c>
      <c r="I27" s="77">
        <v>26</v>
      </c>
      <c r="J27" s="77" t="s">
        <v>4957</v>
      </c>
      <c r="K27" s="77">
        <v>26</v>
      </c>
      <c r="L27" s="77" t="s">
        <v>4992</v>
      </c>
    </row>
    <row r="28" spans="1:12" x14ac:dyDescent="0.15">
      <c r="A28" s="77" t="s">
        <v>3571</v>
      </c>
      <c r="B28" s="77">
        <v>3</v>
      </c>
      <c r="C28" s="361" t="s">
        <v>5044</v>
      </c>
      <c r="D28" s="77" t="s">
        <v>3519</v>
      </c>
      <c r="E28" s="77" t="s">
        <v>3568</v>
      </c>
      <c r="F28" s="77">
        <v>-10</v>
      </c>
      <c r="G28" s="77" t="s">
        <v>5322</v>
      </c>
      <c r="H28" s="77" t="s">
        <v>3517</v>
      </c>
      <c r="I28" s="77">
        <v>27</v>
      </c>
      <c r="J28" s="77" t="s">
        <v>4958</v>
      </c>
      <c r="K28" s="77">
        <v>27</v>
      </c>
      <c r="L28" s="77" t="s">
        <v>4992</v>
      </c>
    </row>
    <row r="29" spans="1:12" x14ac:dyDescent="0.15">
      <c r="A29" s="77" t="s">
        <v>3573</v>
      </c>
      <c r="B29" s="77">
        <v>5</v>
      </c>
      <c r="C29" s="361" t="s">
        <v>5045</v>
      </c>
      <c r="D29" s="77" t="s">
        <v>3519</v>
      </c>
      <c r="E29" s="77" t="s">
        <v>3570</v>
      </c>
      <c r="F29" s="77">
        <v>-10</v>
      </c>
      <c r="G29" s="77" t="s">
        <v>5323</v>
      </c>
      <c r="H29" s="77" t="s">
        <v>3517</v>
      </c>
      <c r="I29" s="77">
        <v>28</v>
      </c>
      <c r="J29" s="77" t="s">
        <v>4959</v>
      </c>
      <c r="K29" s="77">
        <v>28</v>
      </c>
      <c r="L29" s="77" t="s">
        <v>4992</v>
      </c>
    </row>
    <row r="30" spans="1:12" x14ac:dyDescent="0.15">
      <c r="A30" s="77" t="s">
        <v>3575</v>
      </c>
      <c r="B30" s="77">
        <v>7</v>
      </c>
      <c r="C30" s="361" t="s">
        <v>3576</v>
      </c>
      <c r="D30" s="77" t="s">
        <v>3519</v>
      </c>
      <c r="E30" s="77" t="s">
        <v>3572</v>
      </c>
      <c r="F30" s="77">
        <v>-25</v>
      </c>
      <c r="G30" s="77" t="s">
        <v>5324</v>
      </c>
      <c r="H30" s="77" t="s">
        <v>3517</v>
      </c>
      <c r="I30" s="77">
        <v>29</v>
      </c>
      <c r="J30" s="77" t="s">
        <v>4960</v>
      </c>
      <c r="K30" s="77">
        <v>29</v>
      </c>
      <c r="L30" s="77" t="s">
        <v>4992</v>
      </c>
    </row>
    <row r="31" spans="1:12" x14ac:dyDescent="0.15">
      <c r="A31" s="77" t="s">
        <v>3578</v>
      </c>
      <c r="B31" s="77">
        <v>7</v>
      </c>
      <c r="C31" s="361" t="s">
        <v>3579</v>
      </c>
      <c r="D31" s="77" t="s">
        <v>3519</v>
      </c>
      <c r="E31" s="77" t="s">
        <v>3574</v>
      </c>
      <c r="F31" s="77">
        <v>-10</v>
      </c>
      <c r="G31" s="77" t="s">
        <v>5325</v>
      </c>
      <c r="H31" s="77" t="s">
        <v>3517</v>
      </c>
      <c r="I31" s="77">
        <v>30</v>
      </c>
      <c r="J31" s="77" t="s">
        <v>4961</v>
      </c>
      <c r="K31" s="77">
        <v>30</v>
      </c>
      <c r="L31" s="77" t="s">
        <v>4992</v>
      </c>
    </row>
    <row r="32" spans="1:12" x14ac:dyDescent="0.15">
      <c r="A32" s="77" t="s">
        <v>3581</v>
      </c>
      <c r="B32" s="77">
        <v>3</v>
      </c>
      <c r="C32" s="361" t="s">
        <v>5046</v>
      </c>
      <c r="D32" s="77" t="s">
        <v>3519</v>
      </c>
      <c r="E32" s="77" t="s">
        <v>3577</v>
      </c>
      <c r="F32" s="77">
        <v>-15</v>
      </c>
      <c r="G32" s="77" t="s">
        <v>5330</v>
      </c>
      <c r="H32" s="77" t="s">
        <v>3517</v>
      </c>
      <c r="I32" s="77">
        <v>31</v>
      </c>
      <c r="J32" s="77" t="s">
        <v>4962</v>
      </c>
      <c r="K32" s="77">
        <v>31</v>
      </c>
      <c r="L32" s="77" t="s">
        <v>4993</v>
      </c>
    </row>
    <row r="33" spans="1:12" x14ac:dyDescent="0.15">
      <c r="A33" s="77" t="s">
        <v>3583</v>
      </c>
      <c r="B33" s="77">
        <v>15</v>
      </c>
      <c r="C33" s="361" t="s">
        <v>5047</v>
      </c>
      <c r="D33" s="77" t="s">
        <v>3519</v>
      </c>
      <c r="E33" s="77" t="s">
        <v>3580</v>
      </c>
      <c r="F33" s="77">
        <v>-10</v>
      </c>
      <c r="G33" s="77" t="s">
        <v>5326</v>
      </c>
      <c r="H33" s="77" t="s">
        <v>3517</v>
      </c>
      <c r="I33" s="77">
        <v>32</v>
      </c>
      <c r="J33" s="77" t="s">
        <v>4962</v>
      </c>
      <c r="K33" s="77">
        <v>32</v>
      </c>
      <c r="L33" s="77" t="s">
        <v>4993</v>
      </c>
    </row>
    <row r="34" spans="1:12" x14ac:dyDescent="0.15">
      <c r="A34" s="77" t="s">
        <v>3585</v>
      </c>
      <c r="B34" s="77">
        <v>10</v>
      </c>
      <c r="C34" s="361" t="s">
        <v>5048</v>
      </c>
      <c r="D34" s="77" t="s">
        <v>3519</v>
      </c>
      <c r="E34" s="77" t="s">
        <v>3582</v>
      </c>
      <c r="F34" s="77">
        <v>-15</v>
      </c>
      <c r="G34" s="77" t="s">
        <v>5327</v>
      </c>
      <c r="H34" s="77" t="s">
        <v>3517</v>
      </c>
      <c r="I34" s="77">
        <v>33</v>
      </c>
      <c r="J34" s="77" t="s">
        <v>4963</v>
      </c>
      <c r="K34" s="77">
        <v>33</v>
      </c>
      <c r="L34" s="77" t="s">
        <v>4993</v>
      </c>
    </row>
    <row r="35" spans="1:12" x14ac:dyDescent="0.15">
      <c r="A35" s="77" t="s">
        <v>3587</v>
      </c>
      <c r="B35" s="77">
        <v>15</v>
      </c>
      <c r="C35" s="361" t="s">
        <v>5050</v>
      </c>
      <c r="D35" s="77" t="s">
        <v>3519</v>
      </c>
      <c r="E35" s="77" t="s">
        <v>3584</v>
      </c>
      <c r="F35" s="77">
        <v>-15</v>
      </c>
      <c r="G35" s="77" t="s">
        <v>5328</v>
      </c>
      <c r="H35" s="77" t="s">
        <v>3517</v>
      </c>
      <c r="I35" s="77">
        <v>34</v>
      </c>
      <c r="J35" s="77" t="s">
        <v>4963</v>
      </c>
      <c r="K35" s="77">
        <v>34</v>
      </c>
      <c r="L35" s="77" t="s">
        <v>4993</v>
      </c>
    </row>
    <row r="36" spans="1:12" x14ac:dyDescent="0.15">
      <c r="A36" s="77" t="s">
        <v>3589</v>
      </c>
      <c r="B36" s="77">
        <v>30</v>
      </c>
      <c r="C36" s="361" t="s">
        <v>5049</v>
      </c>
      <c r="D36" s="77" t="s">
        <v>3519</v>
      </c>
      <c r="E36" s="77" t="s">
        <v>3586</v>
      </c>
      <c r="F36" s="77">
        <v>-20</v>
      </c>
      <c r="G36" s="77" t="s">
        <v>5329</v>
      </c>
      <c r="H36" s="77" t="s">
        <v>3517</v>
      </c>
      <c r="I36" s="77">
        <v>35</v>
      </c>
      <c r="J36" s="77" t="s">
        <v>4964</v>
      </c>
      <c r="K36" s="77">
        <v>35</v>
      </c>
      <c r="L36" s="77" t="s">
        <v>4993</v>
      </c>
    </row>
    <row r="37" spans="1:12" x14ac:dyDescent="0.15">
      <c r="A37" s="77" t="s">
        <v>3591</v>
      </c>
      <c r="B37" s="77">
        <v>10</v>
      </c>
      <c r="C37" s="361" t="s">
        <v>3592</v>
      </c>
      <c r="D37" s="77" t="s">
        <v>3519</v>
      </c>
      <c r="E37" s="77" t="s">
        <v>3588</v>
      </c>
      <c r="F37" s="77">
        <v>-15</v>
      </c>
      <c r="G37" s="77" t="s">
        <v>5331</v>
      </c>
      <c r="H37" s="77" t="s">
        <v>3517</v>
      </c>
      <c r="I37" s="77">
        <v>36</v>
      </c>
      <c r="J37" s="77" t="s">
        <v>4964</v>
      </c>
      <c r="K37" s="77">
        <v>36</v>
      </c>
      <c r="L37" s="77" t="s">
        <v>4994</v>
      </c>
    </row>
    <row r="38" spans="1:12" x14ac:dyDescent="0.15">
      <c r="A38" s="77" t="s">
        <v>3593</v>
      </c>
      <c r="B38" s="77">
        <v>8</v>
      </c>
      <c r="C38" s="361" t="s">
        <v>5051</v>
      </c>
      <c r="D38" s="77" t="s">
        <v>3519</v>
      </c>
      <c r="E38" s="77" t="s">
        <v>3590</v>
      </c>
      <c r="F38" s="77">
        <v>-15</v>
      </c>
      <c r="G38" s="77" t="s">
        <v>5332</v>
      </c>
      <c r="H38" s="77" t="s">
        <v>3517</v>
      </c>
      <c r="I38" s="77">
        <v>37</v>
      </c>
      <c r="J38" s="77" t="s">
        <v>4965</v>
      </c>
      <c r="K38" s="77">
        <v>37</v>
      </c>
      <c r="L38" s="77" t="s">
        <v>4994</v>
      </c>
    </row>
    <row r="39" spans="1:12" x14ac:dyDescent="0.15">
      <c r="A39" s="77" t="s">
        <v>3595</v>
      </c>
      <c r="B39" s="77">
        <v>25</v>
      </c>
      <c r="C39" s="361" t="s">
        <v>5052</v>
      </c>
      <c r="D39" s="77" t="s">
        <v>3519</v>
      </c>
      <c r="E39" s="77" t="s">
        <v>3594</v>
      </c>
      <c r="F39" s="77">
        <v>-10</v>
      </c>
      <c r="G39" s="77" t="s">
        <v>5333</v>
      </c>
      <c r="H39" s="77" t="s">
        <v>3517</v>
      </c>
      <c r="I39" s="77">
        <v>38</v>
      </c>
      <c r="J39" s="77" t="s">
        <v>4965</v>
      </c>
      <c r="K39" s="77">
        <v>38</v>
      </c>
      <c r="L39" s="77" t="s">
        <v>4994</v>
      </c>
    </row>
    <row r="40" spans="1:12" x14ac:dyDescent="0.15">
      <c r="A40" s="77" t="s">
        <v>3596</v>
      </c>
      <c r="B40" s="77">
        <v>10</v>
      </c>
      <c r="C40" s="361" t="s">
        <v>5053</v>
      </c>
      <c r="D40" s="77" t="s">
        <v>3519</v>
      </c>
      <c r="E40" s="77" t="s">
        <v>5335</v>
      </c>
      <c r="F40" s="77">
        <v>-20</v>
      </c>
      <c r="G40" s="77" t="s">
        <v>5334</v>
      </c>
      <c r="H40" s="77" t="s">
        <v>3517</v>
      </c>
      <c r="I40" s="77">
        <v>39</v>
      </c>
      <c r="J40" s="77" t="s">
        <v>4966</v>
      </c>
      <c r="K40" s="77">
        <v>39</v>
      </c>
      <c r="L40" s="77" t="s">
        <v>4994</v>
      </c>
    </row>
    <row r="41" spans="1:12" x14ac:dyDescent="0.15">
      <c r="A41" s="77" t="s">
        <v>3597</v>
      </c>
      <c r="B41" s="77">
        <v>30</v>
      </c>
      <c r="C41" s="361" t="s">
        <v>5054</v>
      </c>
      <c r="D41" s="77" t="s">
        <v>3519</v>
      </c>
      <c r="E41" s="77" t="s">
        <v>3598</v>
      </c>
      <c r="F41" s="77">
        <v>-5</v>
      </c>
      <c r="G41" s="77" t="s">
        <v>5336</v>
      </c>
      <c r="H41" s="77" t="s">
        <v>3517</v>
      </c>
      <c r="I41" s="77">
        <v>40</v>
      </c>
      <c r="J41" s="77" t="s">
        <v>4966</v>
      </c>
      <c r="K41" s="77">
        <v>40</v>
      </c>
      <c r="L41" s="77" t="s">
        <v>4994</v>
      </c>
    </row>
    <row r="42" spans="1:12" x14ac:dyDescent="0.15">
      <c r="A42" s="77" t="s">
        <v>3599</v>
      </c>
      <c r="B42" s="77">
        <v>10</v>
      </c>
      <c r="C42" s="361" t="s">
        <v>3600</v>
      </c>
      <c r="D42" s="77" t="s">
        <v>3519</v>
      </c>
      <c r="E42" s="77" t="s">
        <v>3601</v>
      </c>
      <c r="F42" s="77">
        <v>-5</v>
      </c>
      <c r="G42" s="77" t="s">
        <v>5338</v>
      </c>
      <c r="H42" s="77" t="s">
        <v>3517</v>
      </c>
      <c r="I42" s="77">
        <v>41</v>
      </c>
      <c r="J42" s="77" t="s">
        <v>4967</v>
      </c>
      <c r="K42" s="77">
        <v>41</v>
      </c>
      <c r="L42" s="77" t="s">
        <v>4995</v>
      </c>
    </row>
    <row r="43" spans="1:12" x14ac:dyDescent="0.15">
      <c r="A43" s="77" t="s">
        <v>3602</v>
      </c>
      <c r="B43" s="77">
        <v>6</v>
      </c>
      <c r="C43" s="361" t="s">
        <v>3603</v>
      </c>
      <c r="D43" s="77" t="s">
        <v>3519</v>
      </c>
      <c r="E43" s="77" t="s">
        <v>3604</v>
      </c>
      <c r="F43" s="77">
        <v>-10</v>
      </c>
      <c r="G43" s="77" t="s">
        <v>5339</v>
      </c>
      <c r="H43" s="77" t="s">
        <v>3517</v>
      </c>
      <c r="I43" s="77">
        <v>42</v>
      </c>
      <c r="J43" s="77" t="s">
        <v>4967</v>
      </c>
      <c r="K43" s="77">
        <v>42</v>
      </c>
      <c r="L43" s="77" t="s">
        <v>4995</v>
      </c>
    </row>
    <row r="44" spans="1:12" x14ac:dyDescent="0.15">
      <c r="A44" s="77" t="s">
        <v>3605</v>
      </c>
      <c r="B44" s="77">
        <v>12</v>
      </c>
      <c r="C44" s="361" t="s">
        <v>5055</v>
      </c>
      <c r="D44" s="77" t="s">
        <v>3519</v>
      </c>
      <c r="E44" s="77" t="s">
        <v>3604</v>
      </c>
      <c r="F44" s="77">
        <v>-15</v>
      </c>
      <c r="G44" s="77" t="s">
        <v>5337</v>
      </c>
      <c r="H44" s="77" t="s">
        <v>3517</v>
      </c>
      <c r="I44" s="77">
        <v>43</v>
      </c>
      <c r="J44" s="77" t="s">
        <v>4968</v>
      </c>
      <c r="K44" s="77">
        <v>43</v>
      </c>
      <c r="L44" s="77" t="s">
        <v>4995</v>
      </c>
    </row>
    <row r="45" spans="1:12" x14ac:dyDescent="0.15">
      <c r="A45" s="77" t="s">
        <v>3606</v>
      </c>
      <c r="B45" s="77">
        <v>3</v>
      </c>
      <c r="C45" s="361" t="s">
        <v>5056</v>
      </c>
      <c r="D45" s="77" t="s">
        <v>3519</v>
      </c>
      <c r="E45" s="77" t="s">
        <v>3607</v>
      </c>
      <c r="F45" s="77">
        <v>-20</v>
      </c>
      <c r="G45" s="77" t="s">
        <v>5340</v>
      </c>
      <c r="H45" s="77" t="s">
        <v>3517</v>
      </c>
      <c r="I45" s="77">
        <v>44</v>
      </c>
      <c r="J45" s="77" t="s">
        <v>4968</v>
      </c>
      <c r="K45" s="77">
        <v>44</v>
      </c>
      <c r="L45" s="77" t="s">
        <v>4995</v>
      </c>
    </row>
    <row r="46" spans="1:12" x14ac:dyDescent="0.15">
      <c r="A46" s="77" t="s">
        <v>4034</v>
      </c>
      <c r="B46" s="77">
        <v>5</v>
      </c>
      <c r="C46" s="361" t="s">
        <v>5057</v>
      </c>
      <c r="D46" s="77" t="s">
        <v>3519</v>
      </c>
      <c r="E46" s="77" t="s">
        <v>3608</v>
      </c>
      <c r="F46" s="77">
        <v>-7</v>
      </c>
      <c r="G46" s="77" t="s">
        <v>5341</v>
      </c>
      <c r="H46" s="77" t="s">
        <v>3517</v>
      </c>
      <c r="I46" s="77">
        <v>45</v>
      </c>
      <c r="J46" s="77" t="s">
        <v>4969</v>
      </c>
      <c r="K46" s="77">
        <v>45</v>
      </c>
      <c r="L46" s="77" t="s">
        <v>4995</v>
      </c>
    </row>
    <row r="47" spans="1:12" x14ac:dyDescent="0.15">
      <c r="A47" s="77" t="s">
        <v>4035</v>
      </c>
      <c r="B47" s="77">
        <v>10</v>
      </c>
      <c r="C47" s="361" t="s">
        <v>5058</v>
      </c>
      <c r="D47" s="77" t="s">
        <v>3519</v>
      </c>
      <c r="E47" s="77" t="s">
        <v>3609</v>
      </c>
      <c r="F47" s="77">
        <v>-12</v>
      </c>
      <c r="G47" s="77" t="s">
        <v>5342</v>
      </c>
      <c r="H47" s="77" t="s">
        <v>3517</v>
      </c>
      <c r="I47" s="77">
        <v>46</v>
      </c>
      <c r="J47" s="77" t="s">
        <v>4969</v>
      </c>
      <c r="K47" s="77">
        <v>46</v>
      </c>
      <c r="L47" s="77" t="s">
        <v>4996</v>
      </c>
    </row>
    <row r="48" spans="1:12" x14ac:dyDescent="0.15">
      <c r="A48" s="77" t="s">
        <v>4036</v>
      </c>
      <c r="B48" s="77">
        <v>15</v>
      </c>
      <c r="C48" s="361" t="s">
        <v>5058</v>
      </c>
      <c r="D48" s="77" t="s">
        <v>3519</v>
      </c>
      <c r="E48" s="77" t="s">
        <v>3610</v>
      </c>
      <c r="F48" s="77">
        <v>-10</v>
      </c>
      <c r="G48" s="77" t="s">
        <v>5343</v>
      </c>
      <c r="H48" s="77" t="s">
        <v>3517</v>
      </c>
      <c r="I48" s="77">
        <v>47</v>
      </c>
      <c r="J48" s="77" t="s">
        <v>4970</v>
      </c>
      <c r="K48" s="77">
        <v>47</v>
      </c>
      <c r="L48" s="77" t="s">
        <v>4996</v>
      </c>
    </row>
    <row r="49" spans="1:12" x14ac:dyDescent="0.15">
      <c r="A49" s="77" t="s">
        <v>3612</v>
      </c>
      <c r="B49" s="77">
        <v>15</v>
      </c>
      <c r="C49" s="361" t="s">
        <v>5059</v>
      </c>
      <c r="D49" s="77" t="s">
        <v>3519</v>
      </c>
      <c r="E49" s="77" t="s">
        <v>3611</v>
      </c>
      <c r="F49" s="77">
        <v>-10</v>
      </c>
      <c r="G49" s="77" t="s">
        <v>5344</v>
      </c>
      <c r="H49" s="77" t="s">
        <v>3517</v>
      </c>
      <c r="I49" s="77">
        <v>48</v>
      </c>
      <c r="J49" s="77" t="s">
        <v>4970</v>
      </c>
      <c r="K49" s="77">
        <v>48</v>
      </c>
      <c r="L49" s="77" t="s">
        <v>4996</v>
      </c>
    </row>
    <row r="50" spans="1:12" x14ac:dyDescent="0.15">
      <c r="A50" s="77" t="s">
        <v>3614</v>
      </c>
      <c r="B50" s="77">
        <v>25</v>
      </c>
      <c r="C50" s="361" t="s">
        <v>5060</v>
      </c>
      <c r="D50" s="77" t="s">
        <v>3519</v>
      </c>
      <c r="E50" s="77" t="s">
        <v>3613</v>
      </c>
      <c r="F50" s="77">
        <v>-10</v>
      </c>
      <c r="G50" s="77" t="s">
        <v>5345</v>
      </c>
      <c r="H50" s="77" t="s">
        <v>3517</v>
      </c>
      <c r="I50" s="77">
        <v>49</v>
      </c>
      <c r="J50" s="77" t="s">
        <v>4971</v>
      </c>
      <c r="K50" s="77">
        <v>49</v>
      </c>
      <c r="L50" s="77" t="s">
        <v>4996</v>
      </c>
    </row>
    <row r="51" spans="1:12" x14ac:dyDescent="0.15">
      <c r="A51" s="77" t="s">
        <v>3616</v>
      </c>
      <c r="B51" s="77">
        <v>7</v>
      </c>
      <c r="C51" s="361" t="s">
        <v>5061</v>
      </c>
      <c r="D51" s="77" t="s">
        <v>3519</v>
      </c>
      <c r="E51" s="77" t="s">
        <v>3615</v>
      </c>
      <c r="F51" s="77">
        <v>-7</v>
      </c>
      <c r="G51" s="77" t="s">
        <v>5346</v>
      </c>
      <c r="H51" s="77" t="s">
        <v>3517</v>
      </c>
      <c r="I51" s="77">
        <v>50</v>
      </c>
      <c r="J51" s="77" t="s">
        <v>4971</v>
      </c>
      <c r="K51" s="77">
        <v>50</v>
      </c>
      <c r="L51" s="77" t="s">
        <v>4996</v>
      </c>
    </row>
    <row r="52" spans="1:12" x14ac:dyDescent="0.15">
      <c r="A52" s="77" t="s">
        <v>4022</v>
      </c>
      <c r="B52" s="77">
        <v>5</v>
      </c>
      <c r="C52" s="361" t="s">
        <v>4023</v>
      </c>
      <c r="D52" s="77" t="s">
        <v>3519</v>
      </c>
      <c r="E52" s="77" t="s">
        <v>3617</v>
      </c>
      <c r="F52" s="77">
        <v>-5</v>
      </c>
      <c r="G52" s="77" t="s">
        <v>5347</v>
      </c>
      <c r="H52" s="77" t="s">
        <v>3517</v>
      </c>
      <c r="I52" s="77">
        <v>51</v>
      </c>
      <c r="J52" s="77" t="s">
        <v>4972</v>
      </c>
      <c r="K52" s="77">
        <v>51</v>
      </c>
      <c r="L52" s="77" t="s">
        <v>4997</v>
      </c>
    </row>
    <row r="53" spans="1:12" x14ac:dyDescent="0.15">
      <c r="A53" s="77" t="s">
        <v>3618</v>
      </c>
      <c r="B53" s="77">
        <v>5</v>
      </c>
      <c r="C53" s="361" t="s">
        <v>5062</v>
      </c>
      <c r="D53" s="77" t="s">
        <v>3519</v>
      </c>
      <c r="E53" s="77" t="s">
        <v>3619</v>
      </c>
      <c r="F53" s="77">
        <v>-10</v>
      </c>
      <c r="G53" s="77" t="s">
        <v>5348</v>
      </c>
      <c r="H53" s="77" t="s">
        <v>3517</v>
      </c>
      <c r="I53" s="77">
        <v>52</v>
      </c>
      <c r="J53" s="77" t="s">
        <v>4972</v>
      </c>
      <c r="K53" s="77">
        <v>52</v>
      </c>
      <c r="L53" s="77" t="s">
        <v>4997</v>
      </c>
    </row>
    <row r="54" spans="1:12" x14ac:dyDescent="0.15">
      <c r="A54" s="77" t="s">
        <v>3620</v>
      </c>
      <c r="B54" s="77">
        <v>10</v>
      </c>
      <c r="C54" s="361" t="s">
        <v>5063</v>
      </c>
      <c r="D54" s="77" t="s">
        <v>3519</v>
      </c>
      <c r="E54" s="77" t="s">
        <v>3621</v>
      </c>
      <c r="F54" s="77">
        <v>-7</v>
      </c>
      <c r="G54" s="77" t="s">
        <v>5349</v>
      </c>
      <c r="H54" s="77" t="s">
        <v>3517</v>
      </c>
      <c r="I54" s="77">
        <v>53</v>
      </c>
      <c r="J54" s="77" t="s">
        <v>4973</v>
      </c>
      <c r="K54" s="77">
        <v>53</v>
      </c>
      <c r="L54" s="77" t="s">
        <v>4997</v>
      </c>
    </row>
    <row r="55" spans="1:12" x14ac:dyDescent="0.15">
      <c r="A55" s="77" t="s">
        <v>3622</v>
      </c>
      <c r="B55" s="77">
        <v>13</v>
      </c>
      <c r="C55" s="361" t="s">
        <v>5064</v>
      </c>
      <c r="D55" s="77" t="s">
        <v>3519</v>
      </c>
      <c r="E55" s="77" t="s">
        <v>3623</v>
      </c>
      <c r="F55" s="77">
        <v>-10</v>
      </c>
      <c r="G55" s="77" t="s">
        <v>5350</v>
      </c>
      <c r="H55" s="77" t="s">
        <v>3517</v>
      </c>
      <c r="I55" s="77">
        <v>54</v>
      </c>
      <c r="J55" s="77" t="s">
        <v>4973</v>
      </c>
      <c r="K55" s="77">
        <v>54</v>
      </c>
      <c r="L55" s="77" t="s">
        <v>4997</v>
      </c>
    </row>
    <row r="56" spans="1:12" x14ac:dyDescent="0.15">
      <c r="A56" s="77" t="s">
        <v>3624</v>
      </c>
      <c r="B56" s="77">
        <v>3</v>
      </c>
      <c r="C56" s="361" t="s">
        <v>5065</v>
      </c>
      <c r="D56" s="77" t="s">
        <v>3519</v>
      </c>
      <c r="E56" s="77" t="s">
        <v>3625</v>
      </c>
      <c r="F56" s="77">
        <v>-5</v>
      </c>
      <c r="G56" s="77" t="s">
        <v>5351</v>
      </c>
      <c r="H56" s="77" t="s">
        <v>3517</v>
      </c>
      <c r="I56" s="77">
        <v>55</v>
      </c>
      <c r="J56" s="77" t="s">
        <v>4974</v>
      </c>
      <c r="K56" s="77">
        <v>55</v>
      </c>
      <c r="L56" s="77" t="s">
        <v>4997</v>
      </c>
    </row>
    <row r="57" spans="1:12" x14ac:dyDescent="0.15">
      <c r="A57" s="77" t="s">
        <v>3626</v>
      </c>
      <c r="B57" s="77">
        <v>10</v>
      </c>
      <c r="C57" s="361" t="s">
        <v>5066</v>
      </c>
      <c r="D57" s="77" t="s">
        <v>3519</v>
      </c>
      <c r="E57" s="77" t="s">
        <v>3627</v>
      </c>
      <c r="F57" s="77">
        <v>-10</v>
      </c>
      <c r="G57" s="77" t="s">
        <v>5352</v>
      </c>
      <c r="H57" s="77" t="s">
        <v>3517</v>
      </c>
      <c r="I57" s="77">
        <v>56</v>
      </c>
      <c r="J57" s="77" t="s">
        <v>4974</v>
      </c>
      <c r="K57" s="77">
        <v>56</v>
      </c>
      <c r="L57" s="77" t="s">
        <v>4998</v>
      </c>
    </row>
    <row r="58" spans="1:12" x14ac:dyDescent="0.15">
      <c r="A58" s="77" t="s">
        <v>3628</v>
      </c>
      <c r="B58" s="77">
        <v>8</v>
      </c>
      <c r="C58" s="361" t="s">
        <v>5067</v>
      </c>
      <c r="D58" s="77" t="s">
        <v>3519</v>
      </c>
      <c r="E58" s="77" t="s">
        <v>3629</v>
      </c>
      <c r="F58" s="77">
        <v>-15</v>
      </c>
      <c r="G58" s="77" t="s">
        <v>5353</v>
      </c>
      <c r="H58" s="77" t="s">
        <v>3517</v>
      </c>
      <c r="I58" s="77">
        <v>57</v>
      </c>
      <c r="J58" s="77" t="s">
        <v>4975</v>
      </c>
      <c r="K58" s="77">
        <v>57</v>
      </c>
      <c r="L58" s="77" t="s">
        <v>4998</v>
      </c>
    </row>
    <row r="59" spans="1:12" x14ac:dyDescent="0.15">
      <c r="A59" s="77" t="s">
        <v>3630</v>
      </c>
      <c r="B59" s="77">
        <v>35</v>
      </c>
      <c r="C59" s="361" t="s">
        <v>5068</v>
      </c>
      <c r="D59" s="77" t="s">
        <v>3519</v>
      </c>
      <c r="E59" s="77" t="s">
        <v>3631</v>
      </c>
      <c r="F59" s="77">
        <v>-15</v>
      </c>
      <c r="G59" s="77" t="s">
        <v>5354</v>
      </c>
      <c r="H59" s="77" t="s">
        <v>3517</v>
      </c>
      <c r="I59" s="77">
        <v>58</v>
      </c>
      <c r="J59" s="77" t="s">
        <v>4975</v>
      </c>
      <c r="K59" s="77">
        <v>58</v>
      </c>
      <c r="L59" s="77" t="s">
        <v>4998</v>
      </c>
    </row>
    <row r="60" spans="1:12" x14ac:dyDescent="0.15">
      <c r="A60" s="77" t="s">
        <v>3632</v>
      </c>
      <c r="B60" s="77">
        <v>10</v>
      </c>
      <c r="C60" s="361" t="s">
        <v>5069</v>
      </c>
      <c r="D60" s="77" t="s">
        <v>3519</v>
      </c>
      <c r="E60" s="77" t="s">
        <v>3633</v>
      </c>
      <c r="F60" s="77">
        <v>-20</v>
      </c>
      <c r="G60" s="77" t="s">
        <v>5356</v>
      </c>
      <c r="H60" s="77" t="s">
        <v>3517</v>
      </c>
      <c r="I60" s="77">
        <v>59</v>
      </c>
      <c r="J60" s="77" t="s">
        <v>4976</v>
      </c>
      <c r="K60" s="77">
        <v>59</v>
      </c>
      <c r="L60" s="77" t="s">
        <v>4998</v>
      </c>
    </row>
    <row r="61" spans="1:12" x14ac:dyDescent="0.15">
      <c r="A61" s="362" t="s">
        <v>330</v>
      </c>
      <c r="B61" s="77" t="s">
        <v>330</v>
      </c>
      <c r="C61" s="361" t="s">
        <v>330</v>
      </c>
      <c r="E61" s="77" t="s">
        <v>3634</v>
      </c>
      <c r="F61" s="77">
        <v>-12</v>
      </c>
      <c r="G61" s="77" t="s">
        <v>5357</v>
      </c>
      <c r="H61" s="77" t="s">
        <v>3517</v>
      </c>
      <c r="I61" s="77">
        <v>60</v>
      </c>
      <c r="J61" s="77" t="s">
        <v>4976</v>
      </c>
      <c r="K61" s="77">
        <v>60</v>
      </c>
      <c r="L61" s="77" t="s">
        <v>4998</v>
      </c>
    </row>
    <row r="62" spans="1:12" x14ac:dyDescent="0.15">
      <c r="A62" s="78" t="s">
        <v>3635</v>
      </c>
      <c r="E62" s="77" t="s">
        <v>3637</v>
      </c>
      <c r="F62" s="77">
        <v>-20</v>
      </c>
      <c r="G62" s="77" t="s">
        <v>5358</v>
      </c>
      <c r="H62" s="77" t="s">
        <v>3517</v>
      </c>
      <c r="I62" s="77">
        <v>61</v>
      </c>
      <c r="J62" s="77" t="s">
        <v>4977</v>
      </c>
      <c r="K62" s="77">
        <v>61</v>
      </c>
      <c r="L62" s="77" t="s">
        <v>4999</v>
      </c>
    </row>
    <row r="63" spans="1:12" x14ac:dyDescent="0.15">
      <c r="A63" s="77" t="s">
        <v>3638</v>
      </c>
      <c r="B63" s="77">
        <v>3</v>
      </c>
      <c r="C63" s="361" t="s">
        <v>5070</v>
      </c>
      <c r="D63" s="77" t="s">
        <v>3636</v>
      </c>
      <c r="E63" s="77" t="s">
        <v>3639</v>
      </c>
      <c r="F63" s="77">
        <v>-10</v>
      </c>
      <c r="G63" s="77" t="s">
        <v>5355</v>
      </c>
      <c r="H63" s="77" t="s">
        <v>3517</v>
      </c>
      <c r="I63" s="77">
        <v>62</v>
      </c>
      <c r="J63" s="77" t="s">
        <v>4977</v>
      </c>
      <c r="K63" s="77">
        <v>62</v>
      </c>
      <c r="L63" s="77" t="s">
        <v>4999</v>
      </c>
    </row>
    <row r="64" spans="1:12" x14ac:dyDescent="0.15">
      <c r="A64" s="77" t="s">
        <v>3640</v>
      </c>
      <c r="B64" s="77">
        <v>7</v>
      </c>
      <c r="C64" s="361" t="s">
        <v>5071</v>
      </c>
      <c r="D64" s="77" t="s">
        <v>3636</v>
      </c>
      <c r="I64" s="77">
        <v>63</v>
      </c>
      <c r="J64" s="77" t="s">
        <v>4978</v>
      </c>
      <c r="K64" s="77">
        <v>63</v>
      </c>
      <c r="L64" s="77" t="s">
        <v>4999</v>
      </c>
    </row>
    <row r="65" spans="1:12" x14ac:dyDescent="0.15">
      <c r="A65" s="77" t="s">
        <v>3641</v>
      </c>
      <c r="B65" s="77">
        <v>10</v>
      </c>
      <c r="C65" s="361" t="s">
        <v>5072</v>
      </c>
      <c r="D65" s="77" t="s">
        <v>3636</v>
      </c>
      <c r="E65" s="78" t="s">
        <v>3642</v>
      </c>
      <c r="I65" s="77">
        <v>64</v>
      </c>
      <c r="J65" s="77" t="s">
        <v>4978</v>
      </c>
      <c r="K65" s="77">
        <v>64</v>
      </c>
      <c r="L65" s="77" t="s">
        <v>4999</v>
      </c>
    </row>
    <row r="66" spans="1:12" x14ac:dyDescent="0.15">
      <c r="A66" s="77" t="s">
        <v>3643</v>
      </c>
      <c r="B66" s="77">
        <v>5</v>
      </c>
      <c r="C66" s="361" t="s">
        <v>5073</v>
      </c>
      <c r="D66" s="77" t="s">
        <v>3636</v>
      </c>
      <c r="E66" s="77" t="s">
        <v>327</v>
      </c>
      <c r="F66" s="77">
        <v>-10</v>
      </c>
      <c r="G66" s="77" t="s">
        <v>5359</v>
      </c>
      <c r="H66" s="77" t="s">
        <v>3644</v>
      </c>
      <c r="I66" s="77">
        <v>65</v>
      </c>
      <c r="J66" s="77" t="s">
        <v>4979</v>
      </c>
      <c r="K66" s="77">
        <v>65</v>
      </c>
      <c r="L66" s="77" t="s">
        <v>4999</v>
      </c>
    </row>
    <row r="67" spans="1:12" x14ac:dyDescent="0.15">
      <c r="A67" s="77" t="s">
        <v>3645</v>
      </c>
      <c r="B67" s="77">
        <v>10</v>
      </c>
      <c r="C67" s="361" t="s">
        <v>5074</v>
      </c>
      <c r="D67" s="77" t="s">
        <v>3636</v>
      </c>
      <c r="E67" s="77" t="s">
        <v>3646</v>
      </c>
      <c r="F67" s="77">
        <v>-5</v>
      </c>
      <c r="G67" s="77" t="s">
        <v>5360</v>
      </c>
      <c r="H67" s="77" t="s">
        <v>3644</v>
      </c>
      <c r="I67" s="77">
        <v>66</v>
      </c>
      <c r="J67" s="77" t="s">
        <v>4979</v>
      </c>
      <c r="K67" s="77">
        <v>66</v>
      </c>
      <c r="L67" s="77" t="s">
        <v>5000</v>
      </c>
    </row>
    <row r="68" spans="1:12" x14ac:dyDescent="0.15">
      <c r="A68" s="77" t="s">
        <v>3647</v>
      </c>
      <c r="B68" s="77">
        <v>15</v>
      </c>
      <c r="C68" s="361" t="s">
        <v>5075</v>
      </c>
      <c r="D68" s="77" t="s">
        <v>3636</v>
      </c>
      <c r="E68" s="77" t="s">
        <v>3648</v>
      </c>
      <c r="F68" s="77">
        <v>-15</v>
      </c>
      <c r="G68" s="77" t="s">
        <v>5363</v>
      </c>
      <c r="H68" s="77" t="s">
        <v>3644</v>
      </c>
      <c r="I68" s="77">
        <v>67</v>
      </c>
      <c r="J68" s="77" t="s">
        <v>4980</v>
      </c>
      <c r="K68" s="77">
        <v>67</v>
      </c>
      <c r="L68" s="77" t="s">
        <v>5000</v>
      </c>
    </row>
    <row r="69" spans="1:12" x14ac:dyDescent="0.15">
      <c r="A69" s="77" t="s">
        <v>3649</v>
      </c>
      <c r="B69" s="77">
        <v>5</v>
      </c>
      <c r="C69" s="361" t="s">
        <v>5076</v>
      </c>
      <c r="D69" s="77" t="s">
        <v>3636</v>
      </c>
      <c r="E69" s="77" t="s">
        <v>3650</v>
      </c>
      <c r="F69" s="77">
        <v>-10</v>
      </c>
      <c r="G69" s="77" t="s">
        <v>5361</v>
      </c>
      <c r="H69" s="77" t="s">
        <v>3644</v>
      </c>
      <c r="I69" s="77">
        <v>68</v>
      </c>
      <c r="J69" s="77" t="s">
        <v>4980</v>
      </c>
      <c r="K69" s="77">
        <v>68</v>
      </c>
      <c r="L69" s="77" t="s">
        <v>5000</v>
      </c>
    </row>
    <row r="70" spans="1:12" x14ac:dyDescent="0.15">
      <c r="A70" s="77" t="s">
        <v>3651</v>
      </c>
      <c r="B70" s="77">
        <v>5</v>
      </c>
      <c r="C70" s="361" t="s">
        <v>5077</v>
      </c>
      <c r="D70" s="77" t="s">
        <v>3636</v>
      </c>
      <c r="E70" s="77" t="s">
        <v>3652</v>
      </c>
      <c r="F70" s="77">
        <v>-20</v>
      </c>
      <c r="G70" s="77" t="s">
        <v>5364</v>
      </c>
      <c r="H70" s="77" t="s">
        <v>3644</v>
      </c>
      <c r="I70" s="77">
        <v>69</v>
      </c>
      <c r="J70" s="77" t="s">
        <v>4981</v>
      </c>
      <c r="K70" s="77">
        <v>69</v>
      </c>
      <c r="L70" s="77" t="s">
        <v>5000</v>
      </c>
    </row>
    <row r="71" spans="1:12" x14ac:dyDescent="0.15">
      <c r="A71" s="77" t="s">
        <v>3653</v>
      </c>
      <c r="B71" s="77">
        <v>10</v>
      </c>
      <c r="C71" s="361" t="s">
        <v>5078</v>
      </c>
      <c r="D71" s="77" t="s">
        <v>3636</v>
      </c>
      <c r="E71" s="77" t="s">
        <v>3654</v>
      </c>
      <c r="F71" s="77">
        <v>-15</v>
      </c>
      <c r="G71" s="77" t="s">
        <v>5362</v>
      </c>
      <c r="H71" s="77" t="s">
        <v>3644</v>
      </c>
      <c r="I71" s="77">
        <v>70</v>
      </c>
      <c r="J71" s="77" t="s">
        <v>4981</v>
      </c>
      <c r="K71" s="77">
        <v>70</v>
      </c>
      <c r="L71" s="77" t="s">
        <v>5000</v>
      </c>
    </row>
    <row r="72" spans="1:12" x14ac:dyDescent="0.15">
      <c r="A72" s="77" t="s">
        <v>3655</v>
      </c>
      <c r="B72" s="77">
        <v>15</v>
      </c>
      <c r="C72" s="361" t="s">
        <v>5079</v>
      </c>
      <c r="D72" s="77" t="s">
        <v>3636</v>
      </c>
      <c r="E72" s="77" t="s">
        <v>3656</v>
      </c>
      <c r="F72" s="77">
        <v>-25</v>
      </c>
      <c r="G72" s="77" t="s">
        <v>5365</v>
      </c>
      <c r="H72" s="77" t="s">
        <v>3644</v>
      </c>
      <c r="I72" s="77">
        <v>71</v>
      </c>
      <c r="J72" s="77" t="s">
        <v>4982</v>
      </c>
      <c r="K72" s="77">
        <v>71</v>
      </c>
      <c r="L72" s="77" t="s">
        <v>5001</v>
      </c>
    </row>
    <row r="73" spans="1:12" x14ac:dyDescent="0.15">
      <c r="A73" s="77" t="s">
        <v>3657</v>
      </c>
      <c r="B73" s="77">
        <v>20</v>
      </c>
      <c r="C73" s="361" t="s">
        <v>5080</v>
      </c>
      <c r="D73" s="77" t="s">
        <v>3636</v>
      </c>
      <c r="E73" s="77" t="s">
        <v>3658</v>
      </c>
      <c r="F73" s="77">
        <v>-20</v>
      </c>
      <c r="G73" s="77" t="s">
        <v>5367</v>
      </c>
      <c r="H73" s="77" t="s">
        <v>3644</v>
      </c>
      <c r="I73" s="77">
        <v>72</v>
      </c>
      <c r="J73" s="77" t="s">
        <v>4982</v>
      </c>
      <c r="K73" s="77">
        <v>72</v>
      </c>
      <c r="L73" s="77" t="s">
        <v>5001</v>
      </c>
    </row>
    <row r="74" spans="1:12" x14ac:dyDescent="0.15">
      <c r="A74" s="77" t="s">
        <v>3659</v>
      </c>
      <c r="B74" s="77">
        <v>15</v>
      </c>
      <c r="C74" s="361" t="s">
        <v>5081</v>
      </c>
      <c r="D74" s="77" t="s">
        <v>3636</v>
      </c>
      <c r="E74" s="77" t="s">
        <v>3660</v>
      </c>
      <c r="F74" s="77">
        <v>-30</v>
      </c>
      <c r="G74" s="77" t="s">
        <v>5366</v>
      </c>
      <c r="H74" s="77" t="s">
        <v>3644</v>
      </c>
      <c r="I74" s="77">
        <v>73</v>
      </c>
      <c r="J74" s="77" t="s">
        <v>4983</v>
      </c>
      <c r="K74" s="77">
        <v>73</v>
      </c>
      <c r="L74" s="77" t="s">
        <v>5001</v>
      </c>
    </row>
    <row r="75" spans="1:12" x14ac:dyDescent="0.15">
      <c r="A75" s="77" t="s">
        <v>3661</v>
      </c>
      <c r="B75" s="77">
        <v>10</v>
      </c>
      <c r="C75" s="361" t="s">
        <v>4037</v>
      </c>
      <c r="D75" s="77" t="s">
        <v>3636</v>
      </c>
      <c r="E75" s="77" t="s">
        <v>3662</v>
      </c>
      <c r="F75" s="77">
        <v>-10</v>
      </c>
      <c r="G75" s="77" t="s">
        <v>5368</v>
      </c>
      <c r="H75" s="77" t="s">
        <v>3644</v>
      </c>
      <c r="I75" s="77">
        <v>74</v>
      </c>
      <c r="J75" s="77" t="s">
        <v>4983</v>
      </c>
      <c r="K75" s="77">
        <v>74</v>
      </c>
      <c r="L75" s="77" t="s">
        <v>5001</v>
      </c>
    </row>
    <row r="76" spans="1:12" x14ac:dyDescent="0.15">
      <c r="A76" s="77" t="s">
        <v>3663</v>
      </c>
      <c r="B76" s="77">
        <v>7</v>
      </c>
      <c r="C76" s="361" t="s">
        <v>5082</v>
      </c>
      <c r="D76" s="77" t="s">
        <v>3636</v>
      </c>
      <c r="E76" s="77" t="s">
        <v>3664</v>
      </c>
      <c r="F76" s="77">
        <v>-15</v>
      </c>
      <c r="G76" s="77" t="s">
        <v>5369</v>
      </c>
      <c r="H76" s="77" t="s">
        <v>3644</v>
      </c>
      <c r="I76" s="77">
        <v>75</v>
      </c>
      <c r="J76" s="77" t="s">
        <v>4984</v>
      </c>
      <c r="K76" s="77">
        <v>75</v>
      </c>
      <c r="L76" s="77" t="s">
        <v>5001</v>
      </c>
    </row>
    <row r="77" spans="1:12" x14ac:dyDescent="0.15">
      <c r="A77" s="77" t="s">
        <v>3665</v>
      </c>
      <c r="B77" s="77">
        <v>5</v>
      </c>
      <c r="C77" s="361" t="s">
        <v>5083</v>
      </c>
      <c r="D77" s="77" t="s">
        <v>3636</v>
      </c>
      <c r="E77" s="77" t="s">
        <v>4032</v>
      </c>
      <c r="F77" s="77">
        <v>-15</v>
      </c>
      <c r="G77" s="77" t="s">
        <v>4033</v>
      </c>
      <c r="H77" s="77" t="s">
        <v>3644</v>
      </c>
      <c r="I77" s="77">
        <v>76</v>
      </c>
      <c r="J77" s="77" t="s">
        <v>4984</v>
      </c>
      <c r="K77" s="77">
        <v>76</v>
      </c>
      <c r="L77" s="77" t="s">
        <v>5002</v>
      </c>
    </row>
    <row r="78" spans="1:12" x14ac:dyDescent="0.15">
      <c r="A78" s="77" t="s">
        <v>3667</v>
      </c>
      <c r="B78" s="77">
        <v>5</v>
      </c>
      <c r="C78" s="361" t="s">
        <v>5084</v>
      </c>
      <c r="D78" s="77" t="s">
        <v>3636</v>
      </c>
      <c r="E78" s="77" t="s">
        <v>4028</v>
      </c>
      <c r="F78" s="77">
        <v>-5</v>
      </c>
      <c r="G78" s="77" t="s">
        <v>4029</v>
      </c>
      <c r="H78" s="77" t="s">
        <v>3644</v>
      </c>
      <c r="I78" s="77">
        <v>77</v>
      </c>
      <c r="J78" s="77" t="s">
        <v>4985</v>
      </c>
      <c r="K78" s="77">
        <v>77</v>
      </c>
      <c r="L78" s="77" t="s">
        <v>5002</v>
      </c>
    </row>
    <row r="79" spans="1:12" x14ac:dyDescent="0.15">
      <c r="A79" s="77" t="s">
        <v>3670</v>
      </c>
      <c r="B79" s="77">
        <v>15</v>
      </c>
      <c r="C79" s="361" t="s">
        <v>5085</v>
      </c>
      <c r="D79" s="77" t="s">
        <v>3636</v>
      </c>
      <c r="E79" s="77" t="s">
        <v>4024</v>
      </c>
      <c r="F79" s="77">
        <v>-15</v>
      </c>
      <c r="G79" s="77" t="s">
        <v>4025</v>
      </c>
      <c r="H79" s="77" t="s">
        <v>3644</v>
      </c>
      <c r="I79" s="77">
        <v>78</v>
      </c>
      <c r="J79" s="77" t="s">
        <v>4985</v>
      </c>
      <c r="K79" s="77">
        <v>78</v>
      </c>
      <c r="L79" s="77" t="s">
        <v>5002</v>
      </c>
    </row>
    <row r="80" spans="1:12" x14ac:dyDescent="0.15">
      <c r="A80" s="77" t="s">
        <v>3673</v>
      </c>
      <c r="B80" s="77">
        <v>8</v>
      </c>
      <c r="C80" s="361" t="s">
        <v>5086</v>
      </c>
      <c r="D80" s="77" t="s">
        <v>3636</v>
      </c>
      <c r="E80" s="77" t="s">
        <v>3666</v>
      </c>
      <c r="F80" s="77">
        <v>-10</v>
      </c>
      <c r="G80" s="77" t="s">
        <v>5370</v>
      </c>
      <c r="H80" s="77" t="s">
        <v>3644</v>
      </c>
      <c r="I80" s="77">
        <v>79</v>
      </c>
      <c r="J80" s="363" t="s">
        <v>4943</v>
      </c>
      <c r="K80" s="77">
        <v>79</v>
      </c>
      <c r="L80" s="77" t="s">
        <v>5002</v>
      </c>
    </row>
    <row r="81" spans="1:12" x14ac:dyDescent="0.15">
      <c r="A81" s="77" t="s">
        <v>3675</v>
      </c>
      <c r="B81" s="77">
        <v>3</v>
      </c>
      <c r="C81" s="361" t="s">
        <v>5087</v>
      </c>
      <c r="D81" s="77" t="s">
        <v>3636</v>
      </c>
      <c r="E81" s="77" t="s">
        <v>3668</v>
      </c>
      <c r="F81" s="77">
        <v>-10</v>
      </c>
      <c r="G81" s="77" t="s">
        <v>5371</v>
      </c>
      <c r="H81" s="77" t="s">
        <v>3644</v>
      </c>
      <c r="I81" s="77">
        <v>80</v>
      </c>
      <c r="J81" s="363" t="s">
        <v>4943</v>
      </c>
      <c r="K81" s="77">
        <v>80</v>
      </c>
      <c r="L81" s="77" t="s">
        <v>5002</v>
      </c>
    </row>
    <row r="82" spans="1:12" x14ac:dyDescent="0.15">
      <c r="A82" s="77" t="s">
        <v>3677</v>
      </c>
      <c r="B82" s="77">
        <v>15</v>
      </c>
      <c r="C82" s="361" t="s">
        <v>5088</v>
      </c>
      <c r="D82" s="77" t="s">
        <v>3636</v>
      </c>
      <c r="E82" s="77" t="s">
        <v>3669</v>
      </c>
      <c r="F82" s="77">
        <v>-10</v>
      </c>
      <c r="G82" s="77" t="s">
        <v>5372</v>
      </c>
      <c r="H82" s="77" t="s">
        <v>3644</v>
      </c>
      <c r="I82" s="77">
        <v>81</v>
      </c>
      <c r="J82" s="363" t="s">
        <v>4943</v>
      </c>
      <c r="K82" s="77">
        <v>81</v>
      </c>
      <c r="L82" s="77" t="s">
        <v>5003</v>
      </c>
    </row>
    <row r="83" spans="1:12" x14ac:dyDescent="0.15">
      <c r="A83" s="77" t="s">
        <v>3679</v>
      </c>
      <c r="B83" s="77">
        <v>5</v>
      </c>
      <c r="C83" s="361" t="s">
        <v>5089</v>
      </c>
      <c r="D83" s="77" t="s">
        <v>3636</v>
      </c>
      <c r="E83" s="77" t="s">
        <v>3671</v>
      </c>
      <c r="F83" s="77">
        <v>-5</v>
      </c>
      <c r="G83" s="77" t="s">
        <v>5020</v>
      </c>
      <c r="H83" s="77" t="s">
        <v>3644</v>
      </c>
      <c r="I83" s="77">
        <v>82</v>
      </c>
      <c r="J83" s="363" t="s">
        <v>4943</v>
      </c>
      <c r="K83" s="77">
        <v>82</v>
      </c>
      <c r="L83" s="77" t="s">
        <v>5003</v>
      </c>
    </row>
    <row r="84" spans="1:12" x14ac:dyDescent="0.15">
      <c r="A84" s="77" t="s">
        <v>3681</v>
      </c>
      <c r="B84" s="77">
        <v>10</v>
      </c>
      <c r="C84" s="361" t="s">
        <v>5090</v>
      </c>
      <c r="D84" s="77" t="s">
        <v>3636</v>
      </c>
      <c r="E84" s="77" t="s">
        <v>3672</v>
      </c>
      <c r="F84" s="77">
        <v>-5</v>
      </c>
      <c r="G84" s="77" t="s">
        <v>5373</v>
      </c>
      <c r="H84" s="77" t="s">
        <v>3644</v>
      </c>
      <c r="I84" s="77">
        <v>83</v>
      </c>
      <c r="J84" s="363" t="s">
        <v>4943</v>
      </c>
      <c r="K84" s="77">
        <v>83</v>
      </c>
      <c r="L84" s="77" t="s">
        <v>5003</v>
      </c>
    </row>
    <row r="85" spans="1:12" x14ac:dyDescent="0.15">
      <c r="A85" s="77" t="s">
        <v>3682</v>
      </c>
      <c r="B85" s="77">
        <v>15</v>
      </c>
      <c r="C85" s="361" t="s">
        <v>5091</v>
      </c>
      <c r="D85" s="77" t="s">
        <v>3636</v>
      </c>
      <c r="E85" s="77" t="s">
        <v>3674</v>
      </c>
      <c r="F85" s="77">
        <v>-5</v>
      </c>
      <c r="G85" s="77" t="s">
        <v>5374</v>
      </c>
      <c r="H85" s="77" t="s">
        <v>3644</v>
      </c>
      <c r="I85" s="77">
        <v>84</v>
      </c>
      <c r="J85" s="363" t="s">
        <v>4943</v>
      </c>
      <c r="K85" s="77">
        <v>84</v>
      </c>
      <c r="L85" s="77" t="s">
        <v>5003</v>
      </c>
    </row>
    <row r="86" spans="1:12" x14ac:dyDescent="0.15">
      <c r="A86" s="77" t="s">
        <v>3684</v>
      </c>
      <c r="B86" s="77">
        <v>20</v>
      </c>
      <c r="C86" s="361" t="s">
        <v>5092</v>
      </c>
      <c r="D86" s="77" t="s">
        <v>3636</v>
      </c>
      <c r="E86" s="77" t="s">
        <v>3676</v>
      </c>
      <c r="F86" s="77">
        <v>-10</v>
      </c>
      <c r="G86" s="77" t="s">
        <v>5376</v>
      </c>
      <c r="H86" s="77" t="s">
        <v>3644</v>
      </c>
      <c r="I86" s="77">
        <v>85</v>
      </c>
      <c r="J86" s="363" t="s">
        <v>4943</v>
      </c>
      <c r="K86" s="77">
        <v>85</v>
      </c>
      <c r="L86" s="77" t="s">
        <v>5003</v>
      </c>
    </row>
    <row r="87" spans="1:12" x14ac:dyDescent="0.15">
      <c r="A87" s="77" t="s">
        <v>3686</v>
      </c>
      <c r="B87" s="77">
        <v>4</v>
      </c>
      <c r="C87" s="361" t="s">
        <v>5093</v>
      </c>
      <c r="D87" s="77" t="s">
        <v>3636</v>
      </c>
      <c r="E87" s="77" t="s">
        <v>3678</v>
      </c>
      <c r="F87" s="77">
        <v>-15</v>
      </c>
      <c r="G87" s="77" t="s">
        <v>5375</v>
      </c>
      <c r="H87" s="77" t="s">
        <v>3644</v>
      </c>
      <c r="I87" s="77">
        <v>86</v>
      </c>
      <c r="J87" s="363" t="s">
        <v>4943</v>
      </c>
      <c r="K87" s="77">
        <v>86</v>
      </c>
      <c r="L87" s="77" t="s">
        <v>5004</v>
      </c>
    </row>
    <row r="88" spans="1:12" x14ac:dyDescent="0.15">
      <c r="A88" s="77" t="s">
        <v>3688</v>
      </c>
      <c r="B88" s="77">
        <v>7</v>
      </c>
      <c r="C88" s="361" t="s">
        <v>5094</v>
      </c>
      <c r="D88" s="77" t="s">
        <v>3636</v>
      </c>
      <c r="E88" s="77" t="s">
        <v>3680</v>
      </c>
      <c r="F88" s="77">
        <v>-20</v>
      </c>
      <c r="G88" s="77" t="s">
        <v>5377</v>
      </c>
      <c r="H88" s="77" t="s">
        <v>3644</v>
      </c>
      <c r="I88" s="77">
        <v>87</v>
      </c>
      <c r="J88" s="363" t="s">
        <v>4943</v>
      </c>
      <c r="K88" s="77">
        <v>87</v>
      </c>
      <c r="L88" s="77" t="s">
        <v>5004</v>
      </c>
    </row>
    <row r="89" spans="1:12" x14ac:dyDescent="0.15">
      <c r="A89" s="77" t="s">
        <v>3689</v>
      </c>
      <c r="B89" s="77">
        <v>15</v>
      </c>
      <c r="C89" s="361" t="s">
        <v>5095</v>
      </c>
      <c r="D89" s="77" t="s">
        <v>3636</v>
      </c>
      <c r="E89" s="77" t="s">
        <v>4026</v>
      </c>
      <c r="F89" s="77">
        <v>-5</v>
      </c>
      <c r="G89" s="77" t="s">
        <v>4027</v>
      </c>
      <c r="H89" s="77" t="s">
        <v>3644</v>
      </c>
      <c r="I89" s="77">
        <v>88</v>
      </c>
      <c r="J89" s="363" t="s">
        <v>4943</v>
      </c>
      <c r="K89" s="77">
        <v>88</v>
      </c>
      <c r="L89" s="77" t="s">
        <v>5004</v>
      </c>
    </row>
    <row r="90" spans="1:12" x14ac:dyDescent="0.15">
      <c r="A90" s="77" t="s">
        <v>3692</v>
      </c>
      <c r="B90" s="77">
        <v>5</v>
      </c>
      <c r="C90" s="361" t="s">
        <v>5096</v>
      </c>
      <c r="D90" s="77" t="s">
        <v>3636</v>
      </c>
      <c r="E90" s="77" t="s">
        <v>3683</v>
      </c>
      <c r="F90" s="77">
        <v>-10</v>
      </c>
      <c r="G90" s="77" t="s">
        <v>5378</v>
      </c>
      <c r="H90" s="77" t="s">
        <v>3644</v>
      </c>
      <c r="I90" s="77">
        <v>89</v>
      </c>
      <c r="J90" s="363" t="s">
        <v>4943</v>
      </c>
      <c r="K90" s="77">
        <v>89</v>
      </c>
      <c r="L90" s="77" t="s">
        <v>5004</v>
      </c>
    </row>
    <row r="91" spans="1:12" x14ac:dyDescent="0.15">
      <c r="A91" s="77" t="s">
        <v>3694</v>
      </c>
      <c r="B91" s="77">
        <v>5</v>
      </c>
      <c r="C91" s="361" t="s">
        <v>5098</v>
      </c>
      <c r="D91" s="77" t="s">
        <v>3636</v>
      </c>
      <c r="E91" s="77" t="s">
        <v>3685</v>
      </c>
      <c r="F91" s="77">
        <v>-10</v>
      </c>
      <c r="G91" s="77" t="s">
        <v>5379</v>
      </c>
      <c r="H91" s="77" t="s">
        <v>3644</v>
      </c>
      <c r="I91" s="77">
        <v>90</v>
      </c>
      <c r="J91" s="77" t="s">
        <v>4944</v>
      </c>
      <c r="K91" s="77">
        <v>90</v>
      </c>
      <c r="L91" s="77" t="s">
        <v>5004</v>
      </c>
    </row>
    <row r="92" spans="1:12" x14ac:dyDescent="0.15">
      <c r="A92" s="77" t="s">
        <v>3696</v>
      </c>
      <c r="B92" s="77">
        <v>10</v>
      </c>
      <c r="C92" s="361" t="s">
        <v>5097</v>
      </c>
      <c r="D92" s="77" t="s">
        <v>3636</v>
      </c>
      <c r="E92" s="77" t="s">
        <v>3687</v>
      </c>
      <c r="F92" s="77">
        <v>-10</v>
      </c>
      <c r="G92" s="77" t="s">
        <v>5380</v>
      </c>
      <c r="H92" s="77" t="s">
        <v>3644</v>
      </c>
      <c r="I92" s="77">
        <v>91</v>
      </c>
      <c r="J92" s="77" t="s">
        <v>4944</v>
      </c>
      <c r="K92" s="77">
        <v>91</v>
      </c>
      <c r="L92" s="77" t="s">
        <v>5005</v>
      </c>
    </row>
    <row r="93" spans="1:12" x14ac:dyDescent="0.15">
      <c r="A93" s="77" t="s">
        <v>3698</v>
      </c>
      <c r="B93" s="77">
        <v>13</v>
      </c>
      <c r="C93" s="361" t="s">
        <v>3699</v>
      </c>
      <c r="D93" s="77" t="s">
        <v>3636</v>
      </c>
      <c r="E93" s="77" t="s">
        <v>3690</v>
      </c>
      <c r="F93" s="77">
        <v>-10</v>
      </c>
      <c r="G93" s="77" t="s">
        <v>5381</v>
      </c>
      <c r="H93" s="77" t="s">
        <v>3644</v>
      </c>
      <c r="I93" s="77">
        <v>92</v>
      </c>
      <c r="J93" s="77" t="s">
        <v>4944</v>
      </c>
      <c r="K93" s="77">
        <v>92</v>
      </c>
      <c r="L93" s="77" t="s">
        <v>5005</v>
      </c>
    </row>
    <row r="94" spans="1:12" x14ac:dyDescent="0.15">
      <c r="A94" s="77" t="s">
        <v>3701</v>
      </c>
      <c r="B94" s="77">
        <v>8</v>
      </c>
      <c r="C94" s="361" t="s">
        <v>5099</v>
      </c>
      <c r="D94" s="77" t="s">
        <v>3636</v>
      </c>
      <c r="E94" s="77" t="s">
        <v>3691</v>
      </c>
      <c r="F94" s="77">
        <v>-15</v>
      </c>
      <c r="G94" s="77" t="s">
        <v>5382</v>
      </c>
      <c r="H94" s="77" t="s">
        <v>3644</v>
      </c>
      <c r="I94" s="77">
        <v>93</v>
      </c>
      <c r="J94" s="77" t="s">
        <v>4944</v>
      </c>
      <c r="K94" s="77">
        <v>93</v>
      </c>
      <c r="L94" s="77" t="s">
        <v>5005</v>
      </c>
    </row>
    <row r="95" spans="1:12" x14ac:dyDescent="0.15">
      <c r="A95" s="77" t="s">
        <v>3703</v>
      </c>
      <c r="B95" s="77">
        <v>15</v>
      </c>
      <c r="C95" s="361" t="s">
        <v>5100</v>
      </c>
      <c r="D95" s="77" t="s">
        <v>3636</v>
      </c>
      <c r="E95" s="77" t="s">
        <v>3693</v>
      </c>
      <c r="F95" s="77">
        <v>-3</v>
      </c>
      <c r="G95" s="77" t="s">
        <v>5383</v>
      </c>
      <c r="H95" s="77" t="s">
        <v>3644</v>
      </c>
      <c r="I95" s="77">
        <v>94</v>
      </c>
      <c r="J95" s="77" t="s">
        <v>4944</v>
      </c>
      <c r="K95" s="77">
        <v>94</v>
      </c>
      <c r="L95" s="77" t="s">
        <v>5005</v>
      </c>
    </row>
    <row r="96" spans="1:12" x14ac:dyDescent="0.15">
      <c r="A96" s="77" t="s">
        <v>3705</v>
      </c>
      <c r="B96" s="77">
        <v>7</v>
      </c>
      <c r="C96" s="361" t="s">
        <v>5101</v>
      </c>
      <c r="D96" s="77" t="s">
        <v>3636</v>
      </c>
      <c r="E96" s="77" t="s">
        <v>3695</v>
      </c>
      <c r="F96" s="77">
        <v>-10</v>
      </c>
      <c r="G96" s="77" t="s">
        <v>5384</v>
      </c>
      <c r="H96" s="77" t="s">
        <v>3644</v>
      </c>
      <c r="I96" s="77">
        <v>95</v>
      </c>
      <c r="J96" s="77" t="s">
        <v>4944</v>
      </c>
      <c r="K96" s="77">
        <v>95</v>
      </c>
      <c r="L96" s="77" t="s">
        <v>5005</v>
      </c>
    </row>
    <row r="97" spans="1:12" x14ac:dyDescent="0.15">
      <c r="A97" s="77" t="s">
        <v>3707</v>
      </c>
      <c r="B97" s="77">
        <v>5</v>
      </c>
      <c r="C97" s="361" t="s">
        <v>5102</v>
      </c>
      <c r="D97" s="77" t="s">
        <v>3636</v>
      </c>
      <c r="E97" s="77" t="s">
        <v>3697</v>
      </c>
      <c r="F97" s="77">
        <v>-20</v>
      </c>
      <c r="G97" s="77" t="s">
        <v>5386</v>
      </c>
      <c r="H97" s="77" t="s">
        <v>3644</v>
      </c>
      <c r="I97" s="77">
        <v>96</v>
      </c>
      <c r="J97" s="77" t="s">
        <v>4944</v>
      </c>
      <c r="K97" s="77">
        <v>96</v>
      </c>
      <c r="L97" s="77" t="s">
        <v>5006</v>
      </c>
    </row>
    <row r="98" spans="1:12" x14ac:dyDescent="0.15">
      <c r="A98" s="77" t="s">
        <v>3711</v>
      </c>
      <c r="B98" s="77">
        <v>10</v>
      </c>
      <c r="C98" s="361" t="s">
        <v>5103</v>
      </c>
      <c r="D98" s="77" t="s">
        <v>3636</v>
      </c>
      <c r="E98" s="77" t="s">
        <v>3700</v>
      </c>
      <c r="F98" s="77">
        <v>-13</v>
      </c>
      <c r="G98" s="77" t="s">
        <v>5385</v>
      </c>
      <c r="H98" s="77" t="s">
        <v>3644</v>
      </c>
      <c r="I98" s="77">
        <v>97</v>
      </c>
      <c r="J98" s="77" t="s">
        <v>4944</v>
      </c>
      <c r="K98" s="77">
        <v>97</v>
      </c>
      <c r="L98" s="77" t="s">
        <v>5006</v>
      </c>
    </row>
    <row r="99" spans="1:12" x14ac:dyDescent="0.15">
      <c r="A99" s="77" t="s">
        <v>3713</v>
      </c>
      <c r="B99" s="77">
        <v>5</v>
      </c>
      <c r="C99" s="361" t="s">
        <v>5104</v>
      </c>
      <c r="D99" s="77" t="s">
        <v>3636</v>
      </c>
      <c r="E99" s="77" t="s">
        <v>3702</v>
      </c>
      <c r="F99" s="77">
        <v>-5</v>
      </c>
      <c r="G99" s="77" t="s">
        <v>5387</v>
      </c>
      <c r="H99" s="77" t="s">
        <v>3644</v>
      </c>
      <c r="I99" s="77">
        <v>98</v>
      </c>
      <c r="J99" s="77" t="s">
        <v>4944</v>
      </c>
      <c r="K99" s="77">
        <v>98</v>
      </c>
      <c r="L99" s="77" t="s">
        <v>5006</v>
      </c>
    </row>
    <row r="100" spans="1:12" x14ac:dyDescent="0.15">
      <c r="A100" s="77" t="s">
        <v>3714</v>
      </c>
      <c r="B100" s="77">
        <v>10</v>
      </c>
      <c r="C100" s="361" t="s">
        <v>5105</v>
      </c>
      <c r="D100" s="77" t="s">
        <v>3636</v>
      </c>
      <c r="E100" s="77" t="s">
        <v>3704</v>
      </c>
      <c r="F100" s="77">
        <v>-10</v>
      </c>
      <c r="G100" s="77" t="s">
        <v>5388</v>
      </c>
      <c r="H100" s="77" t="s">
        <v>3644</v>
      </c>
      <c r="I100" s="77">
        <v>99</v>
      </c>
      <c r="J100" s="77" t="s">
        <v>4944</v>
      </c>
      <c r="K100" s="77">
        <v>99</v>
      </c>
      <c r="L100" s="77" t="s">
        <v>5006</v>
      </c>
    </row>
    <row r="101" spans="1:12" x14ac:dyDescent="0.15">
      <c r="A101" s="77" t="s">
        <v>3716</v>
      </c>
      <c r="B101" s="77">
        <v>15</v>
      </c>
      <c r="C101" s="361" t="s">
        <v>5106</v>
      </c>
      <c r="D101" s="77" t="s">
        <v>3636</v>
      </c>
      <c r="E101" s="77" t="s">
        <v>3706</v>
      </c>
      <c r="F101" s="77">
        <v>-15</v>
      </c>
      <c r="G101" s="77" t="s">
        <v>5389</v>
      </c>
      <c r="H101" s="77" t="s">
        <v>3644</v>
      </c>
      <c r="I101" s="77">
        <v>100</v>
      </c>
      <c r="J101" s="77" t="s">
        <v>4944</v>
      </c>
      <c r="K101" s="77">
        <v>100</v>
      </c>
      <c r="L101" s="77" t="s">
        <v>5006</v>
      </c>
    </row>
    <row r="102" spans="1:12" x14ac:dyDescent="0.15">
      <c r="A102" s="77" t="s">
        <v>3718</v>
      </c>
      <c r="B102" s="77">
        <v>20</v>
      </c>
      <c r="C102" s="361" t="s">
        <v>5107</v>
      </c>
      <c r="D102" s="77" t="s">
        <v>3636</v>
      </c>
      <c r="E102" s="77" t="s">
        <v>3708</v>
      </c>
      <c r="F102" s="77">
        <v>-10</v>
      </c>
      <c r="G102" s="77" t="s">
        <v>5390</v>
      </c>
      <c r="H102" s="77" t="s">
        <v>3644</v>
      </c>
    </row>
    <row r="103" spans="1:12" x14ac:dyDescent="0.15">
      <c r="A103" s="77" t="s">
        <v>3720</v>
      </c>
      <c r="B103" s="77">
        <v>7</v>
      </c>
      <c r="C103" s="361" t="s">
        <v>5108</v>
      </c>
      <c r="D103" s="77" t="s">
        <v>3636</v>
      </c>
      <c r="E103" s="77" t="s">
        <v>3710</v>
      </c>
      <c r="F103" s="77">
        <v>-10</v>
      </c>
      <c r="G103" s="77" t="s">
        <v>5391</v>
      </c>
      <c r="H103" s="77" t="s">
        <v>3644</v>
      </c>
    </row>
    <row r="104" spans="1:12" x14ac:dyDescent="0.15">
      <c r="A104" s="77" t="s">
        <v>3723</v>
      </c>
      <c r="B104" s="77">
        <v>15</v>
      </c>
      <c r="C104" s="361" t="s">
        <v>5109</v>
      </c>
      <c r="D104" s="77" t="s">
        <v>3636</v>
      </c>
      <c r="E104" s="77" t="s">
        <v>3712</v>
      </c>
      <c r="F104" s="77">
        <v>-15</v>
      </c>
      <c r="G104" s="77" t="s">
        <v>5392</v>
      </c>
      <c r="H104" s="77" t="s">
        <v>3644</v>
      </c>
    </row>
    <row r="105" spans="1:12" x14ac:dyDescent="0.15">
      <c r="A105" s="77" t="s">
        <v>3725</v>
      </c>
      <c r="B105" s="77">
        <v>8</v>
      </c>
      <c r="C105" s="361" t="s">
        <v>5110</v>
      </c>
      <c r="D105" s="77" t="s">
        <v>3636</v>
      </c>
      <c r="E105" s="77" t="s">
        <v>3715</v>
      </c>
      <c r="F105" s="77">
        <v>-5</v>
      </c>
      <c r="G105" s="77" t="s">
        <v>5393</v>
      </c>
      <c r="H105" s="77" t="s">
        <v>3644</v>
      </c>
    </row>
    <row r="106" spans="1:12" x14ac:dyDescent="0.15">
      <c r="A106" s="77" t="s">
        <v>3727</v>
      </c>
      <c r="B106" s="77">
        <v>15</v>
      </c>
      <c r="C106" s="361" t="s">
        <v>5111</v>
      </c>
      <c r="D106" s="77" t="s">
        <v>3636</v>
      </c>
      <c r="E106" s="77" t="s">
        <v>3717</v>
      </c>
      <c r="F106" s="77">
        <v>-10</v>
      </c>
      <c r="G106" s="77" t="s">
        <v>5394</v>
      </c>
      <c r="H106" s="77" t="s">
        <v>3644</v>
      </c>
    </row>
    <row r="107" spans="1:12" x14ac:dyDescent="0.15">
      <c r="A107" s="77" t="s">
        <v>3729</v>
      </c>
      <c r="B107" s="77">
        <v>25</v>
      </c>
      <c r="C107" s="361" t="s">
        <v>5112</v>
      </c>
      <c r="D107" s="77" t="s">
        <v>3636</v>
      </c>
      <c r="E107" s="77" t="s">
        <v>3719</v>
      </c>
      <c r="F107" s="77">
        <v>-5</v>
      </c>
      <c r="G107" s="77" t="s">
        <v>5395</v>
      </c>
      <c r="H107" s="77" t="s">
        <v>3644</v>
      </c>
    </row>
    <row r="108" spans="1:12" x14ac:dyDescent="0.15">
      <c r="A108" s="77" t="s">
        <v>3731</v>
      </c>
      <c r="B108" s="77">
        <v>10</v>
      </c>
      <c r="C108" s="361" t="s">
        <v>5113</v>
      </c>
      <c r="D108" s="77" t="s">
        <v>3636</v>
      </c>
      <c r="E108" s="77" t="s">
        <v>3721</v>
      </c>
      <c r="F108" s="77">
        <v>-15</v>
      </c>
      <c r="G108" s="77" t="s">
        <v>5396</v>
      </c>
      <c r="H108" s="77" t="s">
        <v>3644</v>
      </c>
    </row>
    <row r="109" spans="1:12" x14ac:dyDescent="0.15">
      <c r="A109" s="77" t="s">
        <v>3733</v>
      </c>
      <c r="B109" s="77">
        <v>10</v>
      </c>
      <c r="C109" s="361" t="s">
        <v>5114</v>
      </c>
      <c r="D109" s="77" t="s">
        <v>3636</v>
      </c>
      <c r="E109" s="77" t="s">
        <v>3722</v>
      </c>
      <c r="F109" s="77">
        <v>-10</v>
      </c>
      <c r="G109" s="77" t="s">
        <v>5397</v>
      </c>
      <c r="H109" s="77" t="s">
        <v>3644</v>
      </c>
    </row>
    <row r="110" spans="1:12" x14ac:dyDescent="0.15">
      <c r="A110" s="77" t="s">
        <v>3735</v>
      </c>
      <c r="B110" s="77">
        <v>10</v>
      </c>
      <c r="C110" s="361" t="s">
        <v>5115</v>
      </c>
      <c r="D110" s="77" t="s">
        <v>3636</v>
      </c>
      <c r="E110" s="77" t="s">
        <v>3724</v>
      </c>
      <c r="F110" s="77">
        <v>-10</v>
      </c>
      <c r="G110" s="77" t="s">
        <v>5398</v>
      </c>
      <c r="H110" s="77" t="s">
        <v>3644</v>
      </c>
    </row>
    <row r="111" spans="1:12" x14ac:dyDescent="0.15">
      <c r="A111" s="77" t="s">
        <v>3737</v>
      </c>
      <c r="B111" s="77">
        <v>5</v>
      </c>
      <c r="C111" s="361" t="s">
        <v>5116</v>
      </c>
      <c r="D111" s="77" t="s">
        <v>3636</v>
      </c>
      <c r="E111" s="77" t="s">
        <v>3726</v>
      </c>
      <c r="F111" s="77">
        <v>-15</v>
      </c>
      <c r="G111" s="77" t="s">
        <v>5399</v>
      </c>
      <c r="H111" s="77" t="s">
        <v>3644</v>
      </c>
    </row>
    <row r="112" spans="1:12" x14ac:dyDescent="0.15">
      <c r="A112" s="77" t="s">
        <v>3739</v>
      </c>
      <c r="B112" s="77">
        <v>5</v>
      </c>
      <c r="C112" s="361" t="s">
        <v>5117</v>
      </c>
      <c r="D112" s="77" t="s">
        <v>3636</v>
      </c>
      <c r="E112" s="77" t="s">
        <v>3728</v>
      </c>
      <c r="F112" s="77">
        <v>-30</v>
      </c>
      <c r="G112" s="77" t="s">
        <v>5400</v>
      </c>
      <c r="H112" s="77" t="s">
        <v>3644</v>
      </c>
    </row>
    <row r="113" spans="1:8" x14ac:dyDescent="0.15">
      <c r="A113" s="77" t="s">
        <v>3741</v>
      </c>
      <c r="B113" s="77">
        <v>15</v>
      </c>
      <c r="C113" s="361" t="s">
        <v>5119</v>
      </c>
      <c r="D113" s="77" t="s">
        <v>3636</v>
      </c>
      <c r="E113" s="77" t="s">
        <v>3730</v>
      </c>
      <c r="F113" s="77">
        <v>-10</v>
      </c>
      <c r="G113" s="77" t="s">
        <v>5401</v>
      </c>
      <c r="H113" s="77" t="s">
        <v>3644</v>
      </c>
    </row>
    <row r="114" spans="1:8" x14ac:dyDescent="0.15">
      <c r="A114" s="77" t="s">
        <v>3743</v>
      </c>
      <c r="B114" s="77">
        <v>10</v>
      </c>
      <c r="C114" s="361" t="s">
        <v>5118</v>
      </c>
      <c r="D114" s="77" t="s">
        <v>3636</v>
      </c>
      <c r="E114" s="77" t="s">
        <v>3732</v>
      </c>
      <c r="F114" s="77">
        <v>-10</v>
      </c>
      <c r="G114" s="77" t="s">
        <v>5402</v>
      </c>
      <c r="H114" s="77" t="s">
        <v>3644</v>
      </c>
    </row>
    <row r="115" spans="1:8" x14ac:dyDescent="0.15">
      <c r="A115" s="77" t="s">
        <v>3745</v>
      </c>
      <c r="B115" s="77">
        <v>8</v>
      </c>
      <c r="C115" s="361" t="s">
        <v>5120</v>
      </c>
      <c r="D115" s="77" t="s">
        <v>3636</v>
      </c>
      <c r="E115" s="77" t="s">
        <v>3734</v>
      </c>
      <c r="F115" s="77">
        <v>-5</v>
      </c>
      <c r="G115" s="77" t="s">
        <v>5403</v>
      </c>
      <c r="H115" s="77" t="s">
        <v>3644</v>
      </c>
    </row>
    <row r="116" spans="1:8" x14ac:dyDescent="0.15">
      <c r="A116" s="77" t="s">
        <v>3747</v>
      </c>
      <c r="B116" s="77">
        <v>10</v>
      </c>
      <c r="C116" s="361" t="s">
        <v>5121</v>
      </c>
      <c r="D116" s="77" t="s">
        <v>3636</v>
      </c>
      <c r="E116" s="77" t="s">
        <v>3736</v>
      </c>
      <c r="F116" s="77">
        <v>-10</v>
      </c>
      <c r="G116" s="77" t="s">
        <v>5404</v>
      </c>
      <c r="H116" s="77" t="s">
        <v>3644</v>
      </c>
    </row>
    <row r="117" spans="1:8" x14ac:dyDescent="0.15">
      <c r="A117" s="77" t="s">
        <v>3749</v>
      </c>
      <c r="B117" s="77">
        <v>15</v>
      </c>
      <c r="C117" s="361" t="s">
        <v>5122</v>
      </c>
      <c r="D117" s="77" t="s">
        <v>3636</v>
      </c>
      <c r="E117" s="77" t="s">
        <v>3738</v>
      </c>
      <c r="F117" s="77">
        <v>-15</v>
      </c>
      <c r="G117" s="77" t="s">
        <v>5405</v>
      </c>
      <c r="H117" s="77" t="s">
        <v>3644</v>
      </c>
    </row>
    <row r="118" spans="1:8" x14ac:dyDescent="0.15">
      <c r="A118" s="77" t="s">
        <v>3751</v>
      </c>
      <c r="B118" s="77">
        <v>20</v>
      </c>
      <c r="C118" s="361" t="s">
        <v>5123</v>
      </c>
      <c r="D118" s="77" t="s">
        <v>3636</v>
      </c>
      <c r="E118" s="77" t="s">
        <v>3740</v>
      </c>
      <c r="F118" s="77">
        <v>-7</v>
      </c>
      <c r="G118" s="77" t="s">
        <v>5406</v>
      </c>
      <c r="H118" s="77" t="s">
        <v>3644</v>
      </c>
    </row>
    <row r="119" spans="1:8" x14ac:dyDescent="0.15">
      <c r="A119" s="77" t="s">
        <v>3753</v>
      </c>
      <c r="B119" s="77">
        <v>12</v>
      </c>
      <c r="C119" s="361" t="s">
        <v>5124</v>
      </c>
      <c r="D119" s="77" t="s">
        <v>3636</v>
      </c>
      <c r="E119" s="77" t="s">
        <v>3742</v>
      </c>
      <c r="F119" s="77">
        <v>-5</v>
      </c>
      <c r="G119" s="77" t="s">
        <v>5407</v>
      </c>
      <c r="H119" s="77" t="s">
        <v>3644</v>
      </c>
    </row>
    <row r="120" spans="1:8" x14ac:dyDescent="0.15">
      <c r="A120" s="77" t="s">
        <v>3755</v>
      </c>
      <c r="B120" s="77">
        <v>10</v>
      </c>
      <c r="C120" s="361" t="s">
        <v>5125</v>
      </c>
      <c r="D120" s="77" t="s">
        <v>3636</v>
      </c>
      <c r="E120" s="77" t="s">
        <v>3744</v>
      </c>
      <c r="F120" s="77">
        <v>-10</v>
      </c>
      <c r="G120" s="77" t="s">
        <v>5408</v>
      </c>
      <c r="H120" s="77" t="s">
        <v>3644</v>
      </c>
    </row>
    <row r="121" spans="1:8" x14ac:dyDescent="0.15">
      <c r="A121" s="77" t="s">
        <v>3757</v>
      </c>
      <c r="B121" s="77">
        <v>15</v>
      </c>
      <c r="C121" s="361" t="s">
        <v>5126</v>
      </c>
      <c r="D121" s="77" t="s">
        <v>3636</v>
      </c>
      <c r="E121" s="77" t="s">
        <v>3746</v>
      </c>
      <c r="F121" s="77">
        <v>-15</v>
      </c>
      <c r="G121" s="77" t="s">
        <v>5409</v>
      </c>
      <c r="H121" s="77" t="s">
        <v>3644</v>
      </c>
    </row>
    <row r="122" spans="1:8" x14ac:dyDescent="0.15">
      <c r="A122" s="77" t="s">
        <v>3759</v>
      </c>
      <c r="B122" s="77">
        <v>30</v>
      </c>
      <c r="C122" s="361" t="s">
        <v>5127</v>
      </c>
      <c r="D122" s="77" t="s">
        <v>3636</v>
      </c>
      <c r="E122" s="77" t="s">
        <v>3748</v>
      </c>
      <c r="F122" s="77">
        <v>-5</v>
      </c>
      <c r="G122" s="77" t="s">
        <v>5410</v>
      </c>
      <c r="H122" s="77" t="s">
        <v>3644</v>
      </c>
    </row>
    <row r="123" spans="1:8" x14ac:dyDescent="0.15">
      <c r="A123" s="77" t="s">
        <v>3761</v>
      </c>
      <c r="B123" s="77">
        <v>10</v>
      </c>
      <c r="C123" s="361" t="s">
        <v>5128</v>
      </c>
      <c r="D123" s="77" t="s">
        <v>3636</v>
      </c>
      <c r="E123" s="77" t="s">
        <v>3750</v>
      </c>
      <c r="F123" s="77">
        <v>-10</v>
      </c>
      <c r="G123" s="77" t="s">
        <v>5411</v>
      </c>
      <c r="H123" s="77" t="s">
        <v>3644</v>
      </c>
    </row>
    <row r="124" spans="1:8" x14ac:dyDescent="0.15">
      <c r="A124" s="362" t="s">
        <v>330</v>
      </c>
      <c r="B124" s="77" t="s">
        <v>330</v>
      </c>
      <c r="C124" s="361" t="s">
        <v>330</v>
      </c>
      <c r="E124" s="77" t="s">
        <v>3752</v>
      </c>
      <c r="F124" s="77">
        <v>-15</v>
      </c>
      <c r="G124" s="77" t="s">
        <v>5412</v>
      </c>
      <c r="H124" s="77" t="s">
        <v>3644</v>
      </c>
    </row>
    <row r="125" spans="1:8" x14ac:dyDescent="0.15">
      <c r="A125" s="78" t="s">
        <v>3764</v>
      </c>
      <c r="E125" s="77" t="s">
        <v>3754</v>
      </c>
      <c r="F125" s="77">
        <v>-20</v>
      </c>
      <c r="G125" s="77" t="s">
        <v>5413</v>
      </c>
      <c r="H125" s="77" t="s">
        <v>3644</v>
      </c>
    </row>
    <row r="126" spans="1:8" x14ac:dyDescent="0.15">
      <c r="A126" s="77" t="s">
        <v>3766</v>
      </c>
      <c r="B126" s="77">
        <v>7</v>
      </c>
      <c r="C126" s="361" t="s">
        <v>5129</v>
      </c>
      <c r="D126" s="77" t="s">
        <v>3767</v>
      </c>
      <c r="E126" s="77" t="s">
        <v>3756</v>
      </c>
      <c r="F126" s="77">
        <v>-5</v>
      </c>
      <c r="G126" s="77" t="s">
        <v>5414</v>
      </c>
      <c r="H126" s="77" t="s">
        <v>3644</v>
      </c>
    </row>
    <row r="127" spans="1:8" x14ac:dyDescent="0.15">
      <c r="A127" s="77" t="s">
        <v>3768</v>
      </c>
      <c r="B127" s="77">
        <v>18</v>
      </c>
      <c r="C127" s="361" t="s">
        <v>5130</v>
      </c>
      <c r="D127" s="77" t="s">
        <v>3767</v>
      </c>
      <c r="E127" s="77" t="s">
        <v>3758</v>
      </c>
      <c r="F127" s="77">
        <v>-5</v>
      </c>
      <c r="G127" s="77" t="s">
        <v>5415</v>
      </c>
      <c r="H127" s="77" t="s">
        <v>3644</v>
      </c>
    </row>
    <row r="128" spans="1:8" x14ac:dyDescent="0.15">
      <c r="A128" s="77" t="s">
        <v>3772</v>
      </c>
      <c r="B128" s="77">
        <v>10</v>
      </c>
      <c r="C128" s="361" t="s">
        <v>5131</v>
      </c>
      <c r="D128" s="77" t="s">
        <v>3767</v>
      </c>
      <c r="E128" s="77" t="s">
        <v>3760</v>
      </c>
      <c r="F128" s="77">
        <v>-5</v>
      </c>
      <c r="G128" s="77" t="s">
        <v>5416</v>
      </c>
      <c r="H128" s="77" t="s">
        <v>3644</v>
      </c>
    </row>
    <row r="129" spans="1:8" x14ac:dyDescent="0.15">
      <c r="A129" s="77" t="s">
        <v>3774</v>
      </c>
      <c r="B129" s="77">
        <v>20</v>
      </c>
      <c r="C129" s="361" t="s">
        <v>5132</v>
      </c>
      <c r="D129" s="77" t="s">
        <v>3767</v>
      </c>
      <c r="E129" s="77" t="s">
        <v>3762</v>
      </c>
      <c r="F129" s="77">
        <v>-10</v>
      </c>
      <c r="G129" s="77" t="s">
        <v>5418</v>
      </c>
      <c r="H129" s="77" t="s">
        <v>3644</v>
      </c>
    </row>
    <row r="130" spans="1:8" x14ac:dyDescent="0.15">
      <c r="A130" s="77" t="s">
        <v>3776</v>
      </c>
      <c r="B130" s="77">
        <v>30</v>
      </c>
      <c r="C130" s="361" t="s">
        <v>5133</v>
      </c>
      <c r="D130" s="77" t="s">
        <v>3767</v>
      </c>
      <c r="E130" s="77" t="s">
        <v>3763</v>
      </c>
      <c r="F130" s="77">
        <v>-15</v>
      </c>
      <c r="G130" s="77" t="s">
        <v>5417</v>
      </c>
      <c r="H130" s="77" t="s">
        <v>3644</v>
      </c>
    </row>
    <row r="131" spans="1:8" x14ac:dyDescent="0.15">
      <c r="A131" s="77" t="s">
        <v>3778</v>
      </c>
      <c r="B131" s="77">
        <v>15</v>
      </c>
      <c r="C131" s="361" t="s">
        <v>5134</v>
      </c>
      <c r="D131" s="77" t="s">
        <v>3767</v>
      </c>
      <c r="E131" s="77" t="s">
        <v>3765</v>
      </c>
      <c r="F131" s="77">
        <v>-5</v>
      </c>
      <c r="G131" s="77" t="s">
        <v>5419</v>
      </c>
      <c r="H131" s="77" t="s">
        <v>3644</v>
      </c>
    </row>
    <row r="132" spans="1:8" x14ac:dyDescent="0.15">
      <c r="A132" s="77" t="s">
        <v>3780</v>
      </c>
      <c r="B132" s="77">
        <v>7</v>
      </c>
      <c r="C132" s="361" t="s">
        <v>5135</v>
      </c>
      <c r="D132" s="77" t="s">
        <v>3767</v>
      </c>
      <c r="E132" s="77" t="s">
        <v>3769</v>
      </c>
      <c r="F132" s="77">
        <v>-3</v>
      </c>
      <c r="G132" s="77" t="s">
        <v>5420</v>
      </c>
      <c r="H132" s="77" t="s">
        <v>3644</v>
      </c>
    </row>
    <row r="133" spans="1:8" x14ac:dyDescent="0.15">
      <c r="A133" s="77" t="s">
        <v>3782</v>
      </c>
      <c r="B133" s="77">
        <v>15</v>
      </c>
      <c r="C133" s="361" t="s">
        <v>5136</v>
      </c>
      <c r="D133" s="77" t="s">
        <v>3767</v>
      </c>
      <c r="E133" s="77" t="s">
        <v>3770</v>
      </c>
      <c r="F133" s="77">
        <v>-7</v>
      </c>
      <c r="G133" s="77" t="s">
        <v>5422</v>
      </c>
      <c r="H133" s="77" t="s">
        <v>3644</v>
      </c>
    </row>
    <row r="134" spans="1:8" x14ac:dyDescent="0.15">
      <c r="A134" s="77" t="s">
        <v>3784</v>
      </c>
      <c r="B134" s="77">
        <v>10</v>
      </c>
      <c r="C134" s="361" t="s">
        <v>5137</v>
      </c>
      <c r="D134" s="77" t="s">
        <v>3767</v>
      </c>
      <c r="E134" s="77" t="s">
        <v>3771</v>
      </c>
      <c r="F134" s="77">
        <v>-15</v>
      </c>
      <c r="G134" s="77" t="s">
        <v>5421</v>
      </c>
      <c r="H134" s="77" t="s">
        <v>3644</v>
      </c>
    </row>
    <row r="135" spans="1:8" x14ac:dyDescent="0.15">
      <c r="A135" s="77" t="s">
        <v>3787</v>
      </c>
      <c r="B135" s="77">
        <v>30</v>
      </c>
      <c r="C135" s="361" t="s">
        <v>5138</v>
      </c>
      <c r="D135" s="77" t="s">
        <v>3767</v>
      </c>
      <c r="E135" s="77" t="s">
        <v>3773</v>
      </c>
      <c r="F135" s="77">
        <v>-20</v>
      </c>
      <c r="G135" s="77" t="s">
        <v>5423</v>
      </c>
      <c r="H135" s="77" t="s">
        <v>3644</v>
      </c>
    </row>
    <row r="136" spans="1:8" x14ac:dyDescent="0.15">
      <c r="A136" s="77" t="s">
        <v>3789</v>
      </c>
      <c r="B136" s="77">
        <v>5</v>
      </c>
      <c r="C136" s="361" t="s">
        <v>5139</v>
      </c>
      <c r="D136" s="77" t="s">
        <v>3767</v>
      </c>
      <c r="E136" s="77" t="s">
        <v>3775</v>
      </c>
      <c r="F136" s="77">
        <v>-10</v>
      </c>
      <c r="G136" s="77" t="s">
        <v>5424</v>
      </c>
      <c r="H136" s="77" t="s">
        <v>3644</v>
      </c>
    </row>
    <row r="137" spans="1:8" x14ac:dyDescent="0.15">
      <c r="A137" s="77" t="s">
        <v>1521</v>
      </c>
      <c r="B137" s="77">
        <v>7</v>
      </c>
      <c r="C137" s="361" t="s">
        <v>5140</v>
      </c>
      <c r="D137" s="77" t="s">
        <v>3767</v>
      </c>
      <c r="E137" s="364" t="s">
        <v>3777</v>
      </c>
      <c r="F137" s="77">
        <v>-10</v>
      </c>
      <c r="G137" s="77" t="s">
        <v>5425</v>
      </c>
      <c r="H137" s="77" t="s">
        <v>3644</v>
      </c>
    </row>
    <row r="138" spans="1:8" x14ac:dyDescent="0.15">
      <c r="A138" s="77" t="s">
        <v>3792</v>
      </c>
      <c r="B138" s="77">
        <v>7</v>
      </c>
      <c r="C138" s="361" t="s">
        <v>5141</v>
      </c>
      <c r="D138" s="77" t="s">
        <v>3767</v>
      </c>
    </row>
    <row r="139" spans="1:8" x14ac:dyDescent="0.15">
      <c r="A139" s="77" t="s">
        <v>3794</v>
      </c>
      <c r="B139" s="77">
        <v>20</v>
      </c>
      <c r="C139" s="361" t="s">
        <v>5142</v>
      </c>
      <c r="D139" s="77" t="s">
        <v>3767</v>
      </c>
      <c r="E139" s="78" t="s">
        <v>3779</v>
      </c>
    </row>
    <row r="140" spans="1:8" x14ac:dyDescent="0.15">
      <c r="A140" s="77" t="s">
        <v>3796</v>
      </c>
      <c r="B140" s="77">
        <v>15</v>
      </c>
      <c r="C140" s="361" t="s">
        <v>5143</v>
      </c>
      <c r="D140" s="77" t="s">
        <v>3767</v>
      </c>
      <c r="E140" s="77" t="s">
        <v>3781</v>
      </c>
      <c r="F140" s="77">
        <v>-20</v>
      </c>
      <c r="G140" s="77" t="s">
        <v>5426</v>
      </c>
      <c r="H140" s="77" t="s">
        <v>205</v>
      </c>
    </row>
    <row r="141" spans="1:8" x14ac:dyDescent="0.15">
      <c r="A141" s="77" t="s">
        <v>3798</v>
      </c>
      <c r="B141" s="77">
        <v>7</v>
      </c>
      <c r="C141" s="361" t="s">
        <v>5144</v>
      </c>
      <c r="D141" s="77" t="s">
        <v>3767</v>
      </c>
      <c r="E141" s="77" t="s">
        <v>3783</v>
      </c>
      <c r="F141" s="77">
        <v>-10</v>
      </c>
      <c r="G141" s="77" t="s">
        <v>5427</v>
      </c>
      <c r="H141" s="77" t="s">
        <v>205</v>
      </c>
    </row>
    <row r="142" spans="1:8" x14ac:dyDescent="0.15">
      <c r="A142" s="77" t="s">
        <v>3800</v>
      </c>
      <c r="B142" s="77">
        <v>6</v>
      </c>
      <c r="C142" s="361" t="s">
        <v>5145</v>
      </c>
      <c r="D142" s="77" t="s">
        <v>3767</v>
      </c>
      <c r="E142" s="77" t="s">
        <v>3785</v>
      </c>
      <c r="F142" s="77">
        <v>-10</v>
      </c>
      <c r="G142" s="77" t="s">
        <v>5428</v>
      </c>
      <c r="H142" s="77" t="s">
        <v>205</v>
      </c>
    </row>
    <row r="143" spans="1:8" x14ac:dyDescent="0.15">
      <c r="A143" s="77" t="s">
        <v>3802</v>
      </c>
      <c r="B143" s="77">
        <v>25</v>
      </c>
      <c r="C143" s="361" t="s">
        <v>5154</v>
      </c>
      <c r="D143" s="77" t="s">
        <v>3767</v>
      </c>
      <c r="E143" s="77" t="s">
        <v>3786</v>
      </c>
      <c r="F143" s="77">
        <v>-5</v>
      </c>
      <c r="G143" s="77" t="s">
        <v>5429</v>
      </c>
      <c r="H143" s="77" t="s">
        <v>205</v>
      </c>
    </row>
    <row r="144" spans="1:8" x14ac:dyDescent="0.15">
      <c r="A144" s="77" t="s">
        <v>3804</v>
      </c>
      <c r="B144" s="77">
        <v>10</v>
      </c>
      <c r="C144" s="361" t="s">
        <v>5155</v>
      </c>
      <c r="D144" s="77" t="s">
        <v>3767</v>
      </c>
      <c r="E144" s="77" t="s">
        <v>3788</v>
      </c>
      <c r="F144" s="77">
        <v>-10</v>
      </c>
      <c r="G144" s="77" t="s">
        <v>5430</v>
      </c>
      <c r="H144" s="77" t="s">
        <v>205</v>
      </c>
    </row>
    <row r="145" spans="1:8" x14ac:dyDescent="0.15">
      <c r="A145" s="77" t="s">
        <v>3806</v>
      </c>
      <c r="B145" s="77">
        <v>7</v>
      </c>
      <c r="C145" s="361" t="s">
        <v>5156</v>
      </c>
      <c r="D145" s="77" t="s">
        <v>3767</v>
      </c>
      <c r="E145" s="77" t="s">
        <v>3790</v>
      </c>
      <c r="F145" s="77">
        <v>-15</v>
      </c>
      <c r="G145" s="77" t="s">
        <v>5431</v>
      </c>
      <c r="H145" s="77" t="s">
        <v>205</v>
      </c>
    </row>
    <row r="146" spans="1:8" x14ac:dyDescent="0.15">
      <c r="A146" s="77" t="s">
        <v>3811</v>
      </c>
      <c r="B146" s="77">
        <v>15</v>
      </c>
      <c r="C146" s="361" t="s">
        <v>330</v>
      </c>
      <c r="D146" s="77" t="s">
        <v>3767</v>
      </c>
      <c r="E146" s="77" t="s">
        <v>3791</v>
      </c>
      <c r="F146" s="77">
        <v>-5</v>
      </c>
      <c r="G146" s="77" t="s">
        <v>5432</v>
      </c>
      <c r="H146" s="77" t="s">
        <v>205</v>
      </c>
    </row>
    <row r="147" spans="1:8" x14ac:dyDescent="0.15">
      <c r="A147" s="77" t="s">
        <v>3812</v>
      </c>
      <c r="B147" s="77">
        <v>5</v>
      </c>
      <c r="C147" s="361" t="s">
        <v>5146</v>
      </c>
      <c r="D147" s="77" t="s">
        <v>3767</v>
      </c>
      <c r="E147" s="77" t="s">
        <v>3793</v>
      </c>
      <c r="F147" s="77">
        <v>-10</v>
      </c>
      <c r="G147" s="77" t="s">
        <v>5433</v>
      </c>
      <c r="H147" s="77" t="s">
        <v>205</v>
      </c>
    </row>
    <row r="148" spans="1:8" x14ac:dyDescent="0.15">
      <c r="A148" s="77" t="s">
        <v>3814</v>
      </c>
      <c r="B148" s="77">
        <v>10</v>
      </c>
      <c r="C148" s="361" t="s">
        <v>5147</v>
      </c>
      <c r="D148" s="77" t="s">
        <v>3767</v>
      </c>
      <c r="E148" s="77" t="s">
        <v>3795</v>
      </c>
      <c r="F148" s="77">
        <v>-15</v>
      </c>
      <c r="G148" s="77" t="s">
        <v>5434</v>
      </c>
      <c r="H148" s="77" t="s">
        <v>205</v>
      </c>
    </row>
    <row r="149" spans="1:8" x14ac:dyDescent="0.15">
      <c r="A149" s="77" t="s">
        <v>3816</v>
      </c>
      <c r="B149" s="77">
        <v>15</v>
      </c>
      <c r="C149" s="361" t="s">
        <v>5148</v>
      </c>
      <c r="D149" s="77" t="s">
        <v>3767</v>
      </c>
      <c r="E149" s="77" t="s">
        <v>3797</v>
      </c>
      <c r="F149" s="77">
        <v>-10</v>
      </c>
      <c r="G149" s="77" t="s">
        <v>5435</v>
      </c>
      <c r="H149" s="77" t="s">
        <v>205</v>
      </c>
    </row>
    <row r="150" spans="1:8" x14ac:dyDescent="0.15">
      <c r="A150" s="77" t="s">
        <v>3817</v>
      </c>
      <c r="B150" s="77">
        <v>7</v>
      </c>
      <c r="C150" s="361" t="s">
        <v>5149</v>
      </c>
      <c r="D150" s="77" t="s">
        <v>3767</v>
      </c>
      <c r="E150" s="77" t="s">
        <v>3799</v>
      </c>
      <c r="F150" s="77">
        <v>-10</v>
      </c>
      <c r="G150" s="77" t="s">
        <v>5436</v>
      </c>
      <c r="H150" s="77" t="s">
        <v>205</v>
      </c>
    </row>
    <row r="151" spans="1:8" x14ac:dyDescent="0.15">
      <c r="A151" s="77" t="s">
        <v>3819</v>
      </c>
      <c r="B151" s="77">
        <v>18</v>
      </c>
      <c r="C151" s="361" t="s">
        <v>5150</v>
      </c>
      <c r="D151" s="77" t="s">
        <v>3767</v>
      </c>
      <c r="E151" s="77" t="s">
        <v>3801</v>
      </c>
      <c r="F151" s="77">
        <v>-15</v>
      </c>
      <c r="G151" s="77" t="s">
        <v>5437</v>
      </c>
      <c r="H151" s="77" t="s">
        <v>205</v>
      </c>
    </row>
    <row r="152" spans="1:8" x14ac:dyDescent="0.15">
      <c r="A152" s="77" t="s">
        <v>3821</v>
      </c>
      <c r="B152" s="77">
        <v>10</v>
      </c>
      <c r="C152" s="361" t="s">
        <v>5151</v>
      </c>
      <c r="D152" s="77" t="s">
        <v>3767</v>
      </c>
      <c r="E152" s="77" t="s">
        <v>3803</v>
      </c>
      <c r="F152" s="77">
        <v>-15</v>
      </c>
      <c r="G152" s="77" t="s">
        <v>5438</v>
      </c>
      <c r="H152" s="77" t="s">
        <v>205</v>
      </c>
    </row>
    <row r="153" spans="1:8" x14ac:dyDescent="0.15">
      <c r="A153" s="77" t="s">
        <v>3822</v>
      </c>
      <c r="B153" s="77">
        <v>6</v>
      </c>
      <c r="C153" s="361" t="s">
        <v>5152</v>
      </c>
      <c r="D153" s="77" t="s">
        <v>3767</v>
      </c>
      <c r="E153" s="77" t="s">
        <v>3805</v>
      </c>
      <c r="F153" s="77">
        <v>-10</v>
      </c>
      <c r="G153" s="77" t="s">
        <v>5440</v>
      </c>
      <c r="H153" s="77" t="s">
        <v>205</v>
      </c>
    </row>
    <row r="154" spans="1:8" x14ac:dyDescent="0.15">
      <c r="A154" s="77" t="s">
        <v>3823</v>
      </c>
      <c r="B154" s="77">
        <v>5</v>
      </c>
      <c r="C154" s="361" t="s">
        <v>5153</v>
      </c>
      <c r="D154" s="77" t="s">
        <v>3767</v>
      </c>
      <c r="E154" s="77" t="s">
        <v>3807</v>
      </c>
      <c r="F154" s="77">
        <v>-20</v>
      </c>
      <c r="G154" s="77" t="s">
        <v>5439</v>
      </c>
      <c r="H154" s="77" t="s">
        <v>205</v>
      </c>
    </row>
    <row r="155" spans="1:8" x14ac:dyDescent="0.15">
      <c r="C155" s="77"/>
      <c r="E155" s="77" t="s">
        <v>3808</v>
      </c>
      <c r="F155" s="77">
        <v>-40</v>
      </c>
      <c r="G155" s="77" t="s">
        <v>5441</v>
      </c>
      <c r="H155" s="77" t="s">
        <v>205</v>
      </c>
    </row>
    <row r="156" spans="1:8" x14ac:dyDescent="0.15">
      <c r="A156" s="78" t="s">
        <v>3824</v>
      </c>
      <c r="E156" s="77" t="s">
        <v>3809</v>
      </c>
      <c r="F156" s="77">
        <v>-10</v>
      </c>
      <c r="G156" s="77" t="s">
        <v>5442</v>
      </c>
      <c r="H156" s="77" t="s">
        <v>205</v>
      </c>
    </row>
    <row r="157" spans="1:8" x14ac:dyDescent="0.15">
      <c r="A157" s="78"/>
      <c r="E157" s="77" t="s">
        <v>3810</v>
      </c>
      <c r="F157" s="77">
        <v>-7</v>
      </c>
      <c r="G157" s="77" t="s">
        <v>5443</v>
      </c>
      <c r="H157" s="77" t="s">
        <v>205</v>
      </c>
    </row>
    <row r="158" spans="1:8" x14ac:dyDescent="0.15">
      <c r="A158" s="77" t="s">
        <v>3826</v>
      </c>
      <c r="B158" s="77">
        <v>5</v>
      </c>
      <c r="C158" s="361" t="s">
        <v>5159</v>
      </c>
      <c r="D158" s="77" t="s">
        <v>3827</v>
      </c>
      <c r="E158" s="77" t="s">
        <v>3813</v>
      </c>
      <c r="F158" s="77">
        <v>-15</v>
      </c>
      <c r="G158" s="77" t="s">
        <v>5444</v>
      </c>
      <c r="H158" s="77" t="s">
        <v>205</v>
      </c>
    </row>
    <row r="159" spans="1:8" x14ac:dyDescent="0.15">
      <c r="A159" s="77" t="s">
        <v>3829</v>
      </c>
      <c r="B159" s="77">
        <v>7</v>
      </c>
      <c r="C159" s="361" t="s">
        <v>5160</v>
      </c>
      <c r="D159" s="77" t="s">
        <v>3827</v>
      </c>
      <c r="E159" s="365" t="s">
        <v>3815</v>
      </c>
      <c r="F159" s="365">
        <v>-10</v>
      </c>
      <c r="G159" s="365" t="s">
        <v>5445</v>
      </c>
      <c r="H159" s="77" t="s">
        <v>205</v>
      </c>
    </row>
    <row r="160" spans="1:8" x14ac:dyDescent="0.15">
      <c r="A160" s="77" t="s">
        <v>3831</v>
      </c>
      <c r="B160" s="77">
        <v>7</v>
      </c>
      <c r="C160" s="361" t="s">
        <v>5161</v>
      </c>
      <c r="D160" s="77" t="s">
        <v>3827</v>
      </c>
      <c r="E160" s="77" t="s">
        <v>3818</v>
      </c>
      <c r="F160" s="77">
        <v>-20</v>
      </c>
      <c r="G160" s="77" t="s">
        <v>5446</v>
      </c>
      <c r="H160" s="77" t="s">
        <v>205</v>
      </c>
    </row>
    <row r="161" spans="1:8" x14ac:dyDescent="0.15">
      <c r="A161" s="77" t="s">
        <v>3833</v>
      </c>
      <c r="B161" s="77">
        <v>8</v>
      </c>
      <c r="C161" s="361" t="s">
        <v>5162</v>
      </c>
      <c r="D161" s="77" t="s">
        <v>3827</v>
      </c>
      <c r="E161" s="77" t="s">
        <v>3820</v>
      </c>
      <c r="F161" s="77">
        <v>-7</v>
      </c>
      <c r="G161" s="77" t="s">
        <v>5447</v>
      </c>
      <c r="H161" s="77" t="s">
        <v>205</v>
      </c>
    </row>
    <row r="162" spans="1:8" x14ac:dyDescent="0.15">
      <c r="A162" s="77" t="s">
        <v>231</v>
      </c>
      <c r="B162" s="77">
        <v>8</v>
      </c>
      <c r="C162" s="361" t="s">
        <v>5163</v>
      </c>
      <c r="D162" s="77" t="s">
        <v>3827</v>
      </c>
      <c r="E162" s="77" t="s">
        <v>3825</v>
      </c>
      <c r="F162" s="77">
        <v>-15</v>
      </c>
      <c r="G162" s="77" t="s">
        <v>5448</v>
      </c>
      <c r="H162" s="77" t="s">
        <v>205</v>
      </c>
    </row>
    <row r="163" spans="1:8" x14ac:dyDescent="0.15">
      <c r="A163" s="77" t="s">
        <v>3836</v>
      </c>
      <c r="B163" s="77">
        <v>20</v>
      </c>
      <c r="C163" s="361" t="s">
        <v>4021</v>
      </c>
      <c r="D163" s="77" t="s">
        <v>3827</v>
      </c>
      <c r="E163" s="77" t="s">
        <v>4030</v>
      </c>
      <c r="F163" s="77">
        <v>-10</v>
      </c>
      <c r="G163" s="77" t="s">
        <v>4031</v>
      </c>
      <c r="H163" s="77" t="s">
        <v>205</v>
      </c>
    </row>
    <row r="164" spans="1:8" x14ac:dyDescent="0.15">
      <c r="A164" s="77" t="s">
        <v>3838</v>
      </c>
      <c r="B164" s="77">
        <v>7</v>
      </c>
      <c r="C164" s="361" t="s">
        <v>5164</v>
      </c>
      <c r="D164" s="77" t="s">
        <v>3827</v>
      </c>
      <c r="E164" s="77" t="s">
        <v>3828</v>
      </c>
      <c r="F164" s="77">
        <v>-5</v>
      </c>
      <c r="G164" s="77" t="s">
        <v>5449</v>
      </c>
      <c r="H164" s="77" t="s">
        <v>205</v>
      </c>
    </row>
    <row r="165" spans="1:8" x14ac:dyDescent="0.15">
      <c r="A165" s="77" t="s">
        <v>3840</v>
      </c>
      <c r="B165" s="77">
        <v>15</v>
      </c>
      <c r="C165" s="361" t="s">
        <v>5165</v>
      </c>
      <c r="D165" s="77" t="s">
        <v>3827</v>
      </c>
      <c r="E165" s="77" t="s">
        <v>3830</v>
      </c>
      <c r="F165" s="77">
        <v>-10</v>
      </c>
      <c r="G165" s="77" t="s">
        <v>5450</v>
      </c>
      <c r="H165" s="77" t="s">
        <v>205</v>
      </c>
    </row>
    <row r="166" spans="1:8" x14ac:dyDescent="0.15">
      <c r="A166" s="77" t="s">
        <v>3842</v>
      </c>
      <c r="B166" s="77">
        <v>15</v>
      </c>
      <c r="C166" s="361" t="s">
        <v>5166</v>
      </c>
      <c r="D166" s="77" t="s">
        <v>3827</v>
      </c>
      <c r="E166" s="77" t="s">
        <v>3832</v>
      </c>
      <c r="F166" s="77">
        <v>-15</v>
      </c>
      <c r="G166" s="77" t="s">
        <v>5451</v>
      </c>
      <c r="H166" s="77" t="s">
        <v>205</v>
      </c>
    </row>
    <row r="167" spans="1:8" x14ac:dyDescent="0.15">
      <c r="A167" s="77" t="s">
        <v>3844</v>
      </c>
      <c r="B167" s="77">
        <v>5</v>
      </c>
      <c r="C167" s="361" t="s">
        <v>5167</v>
      </c>
      <c r="D167" s="77" t="s">
        <v>3827</v>
      </c>
      <c r="E167" s="77" t="s">
        <v>3834</v>
      </c>
      <c r="F167" s="77">
        <v>-5</v>
      </c>
      <c r="G167" s="77" t="s">
        <v>5452</v>
      </c>
      <c r="H167" s="77" t="s">
        <v>205</v>
      </c>
    </row>
    <row r="168" spans="1:8" x14ac:dyDescent="0.15">
      <c r="A168" s="77" t="s">
        <v>3846</v>
      </c>
      <c r="B168" s="77">
        <v>3</v>
      </c>
      <c r="C168" s="361" t="s">
        <v>5168</v>
      </c>
      <c r="D168" s="77" t="s">
        <v>3827</v>
      </c>
      <c r="E168" s="77" t="s">
        <v>3835</v>
      </c>
      <c r="F168" s="77">
        <v>-10</v>
      </c>
      <c r="G168" s="77" t="s">
        <v>5453</v>
      </c>
      <c r="H168" s="77" t="s">
        <v>205</v>
      </c>
    </row>
    <row r="169" spans="1:8" x14ac:dyDescent="0.15">
      <c r="A169" s="77" t="s">
        <v>3849</v>
      </c>
      <c r="B169" s="77">
        <v>7</v>
      </c>
      <c r="C169" s="361" t="s">
        <v>5169</v>
      </c>
      <c r="D169" s="77" t="s">
        <v>3827</v>
      </c>
      <c r="E169" s="77" t="s">
        <v>3837</v>
      </c>
      <c r="F169" s="77">
        <v>-20</v>
      </c>
      <c r="G169" s="77" t="s">
        <v>5454</v>
      </c>
      <c r="H169" s="77" t="s">
        <v>205</v>
      </c>
    </row>
    <row r="170" spans="1:8" x14ac:dyDescent="0.15">
      <c r="A170" s="77" t="s">
        <v>3851</v>
      </c>
      <c r="B170" s="77">
        <v>25</v>
      </c>
      <c r="C170" s="361" t="s">
        <v>5170</v>
      </c>
      <c r="D170" s="77" t="s">
        <v>3827</v>
      </c>
      <c r="E170" s="77" t="s">
        <v>3839</v>
      </c>
      <c r="F170" s="77">
        <v>-10</v>
      </c>
      <c r="G170" s="77" t="s">
        <v>5455</v>
      </c>
      <c r="H170" s="77" t="s">
        <v>205</v>
      </c>
    </row>
    <row r="171" spans="1:8" x14ac:dyDescent="0.15">
      <c r="A171" s="77" t="s">
        <v>1559</v>
      </c>
      <c r="B171" s="77">
        <v>10</v>
      </c>
      <c r="C171" s="361" t="s">
        <v>5171</v>
      </c>
      <c r="D171" s="77" t="s">
        <v>3827</v>
      </c>
      <c r="E171" s="77" t="s">
        <v>3841</v>
      </c>
      <c r="F171" s="77">
        <v>-15</v>
      </c>
      <c r="G171" s="77" t="s">
        <v>5456</v>
      </c>
      <c r="H171" s="77" t="s">
        <v>205</v>
      </c>
    </row>
    <row r="172" spans="1:8" x14ac:dyDescent="0.15">
      <c r="A172" s="77" t="s">
        <v>3854</v>
      </c>
      <c r="B172" s="77">
        <v>8</v>
      </c>
      <c r="C172" s="361" t="s">
        <v>5172</v>
      </c>
      <c r="D172" s="77" t="s">
        <v>3827</v>
      </c>
      <c r="E172" s="77" t="s">
        <v>3843</v>
      </c>
      <c r="F172" s="77">
        <v>-25</v>
      </c>
      <c r="G172" s="77" t="s">
        <v>5457</v>
      </c>
      <c r="H172" s="77" t="s">
        <v>205</v>
      </c>
    </row>
    <row r="173" spans="1:8" x14ac:dyDescent="0.15">
      <c r="A173" s="77" t="s">
        <v>3856</v>
      </c>
      <c r="B173" s="77">
        <v>3</v>
      </c>
      <c r="C173" s="361" t="s">
        <v>5173</v>
      </c>
      <c r="D173" s="77" t="s">
        <v>3827</v>
      </c>
      <c r="E173" s="77" t="s">
        <v>3845</v>
      </c>
      <c r="F173" s="77">
        <v>-5</v>
      </c>
      <c r="G173" s="77" t="s">
        <v>5458</v>
      </c>
      <c r="H173" s="77" t="s">
        <v>205</v>
      </c>
    </row>
    <row r="174" spans="1:8" x14ac:dyDescent="0.15">
      <c r="A174" s="77" t="s">
        <v>3858</v>
      </c>
      <c r="B174" s="77">
        <v>5</v>
      </c>
      <c r="C174" s="361" t="s">
        <v>5174</v>
      </c>
      <c r="D174" s="77" t="s">
        <v>3827</v>
      </c>
      <c r="E174" s="77" t="s">
        <v>3847</v>
      </c>
      <c r="F174" s="77">
        <v>-10</v>
      </c>
      <c r="G174" s="77" t="s">
        <v>5459</v>
      </c>
      <c r="H174" s="77" t="s">
        <v>205</v>
      </c>
    </row>
    <row r="175" spans="1:8" x14ac:dyDescent="0.15">
      <c r="A175" s="77" t="s">
        <v>3860</v>
      </c>
      <c r="B175" s="77">
        <v>10</v>
      </c>
      <c r="C175" s="361" t="s">
        <v>5175</v>
      </c>
      <c r="D175" s="77" t="s">
        <v>3827</v>
      </c>
      <c r="E175" s="77" t="s">
        <v>3848</v>
      </c>
      <c r="F175" s="77">
        <v>-15</v>
      </c>
      <c r="G175" s="77" t="s">
        <v>5459</v>
      </c>
      <c r="H175" s="77" t="s">
        <v>205</v>
      </c>
    </row>
    <row r="176" spans="1:8" x14ac:dyDescent="0.15">
      <c r="A176" s="77" t="s">
        <v>3862</v>
      </c>
      <c r="B176" s="77">
        <v>7</v>
      </c>
      <c r="C176" s="361" t="s">
        <v>5176</v>
      </c>
      <c r="D176" s="77" t="s">
        <v>3827</v>
      </c>
      <c r="E176" s="77" t="s">
        <v>3850</v>
      </c>
      <c r="F176" s="77">
        <v>-10</v>
      </c>
      <c r="G176" s="77" t="s">
        <v>5460</v>
      </c>
      <c r="H176" s="77" t="s">
        <v>205</v>
      </c>
    </row>
    <row r="177" spans="1:8" x14ac:dyDescent="0.15">
      <c r="A177" s="77" t="s">
        <v>3864</v>
      </c>
      <c r="B177" s="77">
        <v>18</v>
      </c>
      <c r="C177" s="361" t="s">
        <v>5177</v>
      </c>
      <c r="D177" s="77" t="s">
        <v>3827</v>
      </c>
      <c r="E177" s="77" t="s">
        <v>3852</v>
      </c>
      <c r="F177" s="77">
        <v>-10</v>
      </c>
      <c r="G177" s="77" t="s">
        <v>5461</v>
      </c>
      <c r="H177" s="77" t="s">
        <v>205</v>
      </c>
    </row>
    <row r="178" spans="1:8" x14ac:dyDescent="0.15">
      <c r="A178" s="77" t="s">
        <v>3866</v>
      </c>
      <c r="B178" s="77">
        <v>25</v>
      </c>
      <c r="C178" s="361" t="s">
        <v>5178</v>
      </c>
      <c r="D178" s="77" t="s">
        <v>3827</v>
      </c>
      <c r="E178" s="77" t="s">
        <v>3853</v>
      </c>
      <c r="F178" s="77">
        <v>-20</v>
      </c>
      <c r="G178" s="77" t="s">
        <v>5463</v>
      </c>
      <c r="H178" s="77" t="s">
        <v>205</v>
      </c>
    </row>
    <row r="179" spans="1:8" x14ac:dyDescent="0.15">
      <c r="A179" s="77" t="s">
        <v>3868</v>
      </c>
      <c r="B179" s="77">
        <v>10</v>
      </c>
      <c r="C179" s="361" t="s">
        <v>5179</v>
      </c>
      <c r="D179" s="77" t="s">
        <v>3827</v>
      </c>
      <c r="E179" s="77" t="s">
        <v>3855</v>
      </c>
      <c r="F179" s="77">
        <v>-30</v>
      </c>
      <c r="G179" s="77" t="s">
        <v>5462</v>
      </c>
      <c r="H179" s="77" t="s">
        <v>205</v>
      </c>
    </row>
    <row r="180" spans="1:8" x14ac:dyDescent="0.15">
      <c r="A180" s="77" t="s">
        <v>3869</v>
      </c>
      <c r="B180" s="77">
        <v>10</v>
      </c>
      <c r="C180" s="361" t="s">
        <v>5180</v>
      </c>
      <c r="D180" s="77" t="s">
        <v>3827</v>
      </c>
      <c r="E180" s="77" t="s">
        <v>3857</v>
      </c>
      <c r="F180" s="77">
        <v>-10</v>
      </c>
      <c r="G180" s="77" t="s">
        <v>5464</v>
      </c>
      <c r="H180" s="77" t="s">
        <v>205</v>
      </c>
    </row>
    <row r="181" spans="1:8" x14ac:dyDescent="0.15">
      <c r="A181" s="362" t="s">
        <v>330</v>
      </c>
      <c r="B181" s="77" t="s">
        <v>330</v>
      </c>
      <c r="C181" s="361" t="s">
        <v>330</v>
      </c>
      <c r="E181" s="77" t="s">
        <v>3859</v>
      </c>
      <c r="F181" s="77">
        <v>-10</v>
      </c>
      <c r="G181" s="77" t="s">
        <v>5467</v>
      </c>
      <c r="H181" s="77" t="s">
        <v>205</v>
      </c>
    </row>
    <row r="182" spans="1:8" x14ac:dyDescent="0.15">
      <c r="A182" s="78" t="s">
        <v>3870</v>
      </c>
      <c r="E182" s="77" t="s">
        <v>3861</v>
      </c>
      <c r="F182" s="77">
        <v>-20</v>
      </c>
      <c r="G182" s="77" t="s">
        <v>5465</v>
      </c>
      <c r="H182" s="77" t="s">
        <v>205</v>
      </c>
    </row>
    <row r="183" spans="1:8" x14ac:dyDescent="0.15">
      <c r="A183" s="77" t="s">
        <v>3871</v>
      </c>
      <c r="B183" s="77">
        <v>25</v>
      </c>
      <c r="C183" s="361" t="s">
        <v>5181</v>
      </c>
      <c r="D183" s="77" t="s">
        <v>3872</v>
      </c>
      <c r="E183" s="77" t="s">
        <v>3863</v>
      </c>
      <c r="F183" s="77">
        <v>-10</v>
      </c>
      <c r="G183" s="77" t="s">
        <v>5466</v>
      </c>
      <c r="H183" s="77" t="s">
        <v>205</v>
      </c>
    </row>
    <row r="184" spans="1:8" x14ac:dyDescent="0.15">
      <c r="A184" s="77" t="s">
        <v>3873</v>
      </c>
      <c r="B184" s="77">
        <v>7</v>
      </c>
      <c r="C184" s="361" t="s">
        <v>5182</v>
      </c>
      <c r="D184" s="77" t="s">
        <v>3872</v>
      </c>
      <c r="E184" s="77" t="s">
        <v>3865</v>
      </c>
      <c r="F184" s="77">
        <v>-5</v>
      </c>
      <c r="G184" s="77" t="s">
        <v>5468</v>
      </c>
      <c r="H184" s="77" t="s">
        <v>205</v>
      </c>
    </row>
    <row r="185" spans="1:8" x14ac:dyDescent="0.15">
      <c r="A185" s="77" t="s">
        <v>3874</v>
      </c>
      <c r="B185" s="77">
        <v>30</v>
      </c>
      <c r="C185" s="361" t="s">
        <v>5183</v>
      </c>
      <c r="D185" s="77" t="s">
        <v>3872</v>
      </c>
      <c r="E185" s="77" t="s">
        <v>3867</v>
      </c>
      <c r="F185" s="77">
        <v>-20</v>
      </c>
      <c r="G185" s="77" t="s">
        <v>5021</v>
      </c>
      <c r="H185" s="77" t="s">
        <v>205</v>
      </c>
    </row>
    <row r="186" spans="1:8" x14ac:dyDescent="0.15">
      <c r="A186" s="77" t="s">
        <v>3875</v>
      </c>
      <c r="B186" s="77">
        <v>20</v>
      </c>
      <c r="C186" s="361" t="s">
        <v>5184</v>
      </c>
      <c r="D186" s="77" t="s">
        <v>3872</v>
      </c>
    </row>
    <row r="187" spans="1:8" x14ac:dyDescent="0.15">
      <c r="A187" s="77" t="s">
        <v>3876</v>
      </c>
      <c r="B187" s="77">
        <v>13</v>
      </c>
      <c r="C187" s="361" t="s">
        <v>5185</v>
      </c>
      <c r="D187" s="77" t="s">
        <v>3872</v>
      </c>
    </row>
    <row r="188" spans="1:8" x14ac:dyDescent="0.15">
      <c r="A188" s="77" t="s">
        <v>3877</v>
      </c>
      <c r="B188" s="77">
        <v>15</v>
      </c>
      <c r="C188" s="361" t="s">
        <v>3878</v>
      </c>
      <c r="D188" s="77" t="s">
        <v>3872</v>
      </c>
    </row>
    <row r="189" spans="1:8" x14ac:dyDescent="0.15">
      <c r="A189" s="77" t="s">
        <v>3879</v>
      </c>
      <c r="B189" s="77">
        <v>25</v>
      </c>
      <c r="C189" s="361" t="s">
        <v>3880</v>
      </c>
      <c r="D189" s="77" t="s">
        <v>3872</v>
      </c>
    </row>
    <row r="190" spans="1:8" x14ac:dyDescent="0.15">
      <c r="A190" s="77" t="s">
        <v>3881</v>
      </c>
      <c r="B190" s="77">
        <v>15</v>
      </c>
      <c r="C190" s="361" t="s">
        <v>3882</v>
      </c>
      <c r="D190" s="77" t="s">
        <v>3872</v>
      </c>
    </row>
    <row r="191" spans="1:8" x14ac:dyDescent="0.15">
      <c r="A191" s="77" t="s">
        <v>5158</v>
      </c>
      <c r="B191" s="77">
        <v>15</v>
      </c>
      <c r="C191" s="361" t="s">
        <v>5157</v>
      </c>
      <c r="D191" s="77" t="s">
        <v>3872</v>
      </c>
    </row>
    <row r="192" spans="1:8" x14ac:dyDescent="0.15">
      <c r="A192" s="77" t="s">
        <v>3883</v>
      </c>
      <c r="B192" s="77">
        <v>25</v>
      </c>
      <c r="C192" s="361" t="s">
        <v>5188</v>
      </c>
      <c r="D192" s="77" t="s">
        <v>3872</v>
      </c>
    </row>
    <row r="193" spans="1:10" x14ac:dyDescent="0.15">
      <c r="A193" s="77" t="s">
        <v>3884</v>
      </c>
      <c r="B193" s="77">
        <v>30</v>
      </c>
      <c r="C193" s="361" t="s">
        <v>5191</v>
      </c>
      <c r="D193" s="77" t="s">
        <v>3872</v>
      </c>
    </row>
    <row r="194" spans="1:10" x14ac:dyDescent="0.15">
      <c r="A194" s="77" t="s">
        <v>3885</v>
      </c>
      <c r="B194" s="77">
        <v>18</v>
      </c>
      <c r="C194" s="361" t="s">
        <v>5189</v>
      </c>
      <c r="D194" s="77" t="s">
        <v>3872</v>
      </c>
    </row>
    <row r="195" spans="1:10" x14ac:dyDescent="0.15">
      <c r="A195" s="77" t="s">
        <v>3886</v>
      </c>
      <c r="B195" s="77">
        <v>40</v>
      </c>
      <c r="C195" s="361" t="s">
        <v>5190</v>
      </c>
      <c r="D195" s="77" t="s">
        <v>3872</v>
      </c>
    </row>
    <row r="196" spans="1:10" ht="9.75" customHeight="1" x14ac:dyDescent="0.15">
      <c r="A196" s="77" t="s">
        <v>3887</v>
      </c>
      <c r="B196" s="77">
        <v>15</v>
      </c>
      <c r="C196" s="361" t="s">
        <v>5192</v>
      </c>
      <c r="D196" s="77" t="s">
        <v>3872</v>
      </c>
      <c r="J196" s="366"/>
    </row>
    <row r="197" spans="1:10" x14ac:dyDescent="0.15">
      <c r="A197" s="77" t="s">
        <v>3888</v>
      </c>
      <c r="B197" s="77">
        <v>5</v>
      </c>
      <c r="C197" s="361" t="s">
        <v>5193</v>
      </c>
      <c r="D197" s="77" t="s">
        <v>3872</v>
      </c>
    </row>
    <row r="198" spans="1:10" ht="9" customHeight="1" x14ac:dyDescent="0.15">
      <c r="A198" s="77" t="s">
        <v>3889</v>
      </c>
      <c r="B198" s="77">
        <v>10</v>
      </c>
      <c r="C198" s="361" t="s">
        <v>5194</v>
      </c>
      <c r="D198" s="77" t="s">
        <v>3872</v>
      </c>
      <c r="J198" s="366"/>
    </row>
    <row r="199" spans="1:10" x14ac:dyDescent="0.15">
      <c r="A199" s="77" t="s">
        <v>3890</v>
      </c>
      <c r="B199" s="77">
        <v>15</v>
      </c>
      <c r="C199" s="361" t="s">
        <v>5195</v>
      </c>
      <c r="D199" s="77" t="s">
        <v>3872</v>
      </c>
    </row>
    <row r="200" spans="1:10" x14ac:dyDescent="0.15">
      <c r="A200" s="77" t="s">
        <v>3891</v>
      </c>
      <c r="B200" s="77">
        <v>20</v>
      </c>
      <c r="C200" s="361" t="s">
        <v>5196</v>
      </c>
      <c r="D200" s="77" t="s">
        <v>3872</v>
      </c>
    </row>
    <row r="201" spans="1:10" x14ac:dyDescent="0.15">
      <c r="A201" s="77" t="s">
        <v>3892</v>
      </c>
      <c r="B201" s="77">
        <v>5</v>
      </c>
      <c r="C201" s="361" t="s">
        <v>5197</v>
      </c>
      <c r="D201" s="77" t="s">
        <v>3872</v>
      </c>
    </row>
    <row r="202" spans="1:10" x14ac:dyDescent="0.15">
      <c r="A202" s="77" t="s">
        <v>3893</v>
      </c>
      <c r="B202" s="77">
        <v>10</v>
      </c>
      <c r="C202" s="361" t="s">
        <v>5199</v>
      </c>
      <c r="D202" s="77" t="s">
        <v>3872</v>
      </c>
    </row>
    <row r="203" spans="1:10" x14ac:dyDescent="0.15">
      <c r="A203" s="77" t="s">
        <v>3894</v>
      </c>
      <c r="B203" s="77">
        <v>15</v>
      </c>
      <c r="C203" s="361" t="s">
        <v>5198</v>
      </c>
      <c r="D203" s="77" t="s">
        <v>3872</v>
      </c>
    </row>
    <row r="204" spans="1:10" x14ac:dyDescent="0.15">
      <c r="A204" s="77" t="s">
        <v>3895</v>
      </c>
      <c r="B204" s="77">
        <v>10</v>
      </c>
      <c r="C204" s="361" t="s">
        <v>5200</v>
      </c>
      <c r="D204" s="77" t="s">
        <v>3872</v>
      </c>
    </row>
    <row r="205" spans="1:10" x14ac:dyDescent="0.15">
      <c r="A205" s="77" t="s">
        <v>3896</v>
      </c>
      <c r="B205" s="77">
        <v>5</v>
      </c>
      <c r="C205" s="361" t="s">
        <v>5201</v>
      </c>
      <c r="D205" s="77" t="s">
        <v>3872</v>
      </c>
    </row>
    <row r="206" spans="1:10" x14ac:dyDescent="0.15">
      <c r="A206" s="77" t="s">
        <v>3897</v>
      </c>
      <c r="B206" s="77">
        <v>13</v>
      </c>
      <c r="C206" s="361" t="s">
        <v>5202</v>
      </c>
      <c r="D206" s="77" t="s">
        <v>3872</v>
      </c>
    </row>
    <row r="207" spans="1:10" x14ac:dyDescent="0.15">
      <c r="A207" s="77" t="s">
        <v>3898</v>
      </c>
      <c r="B207" s="77">
        <v>15</v>
      </c>
      <c r="C207" s="361" t="s">
        <v>5203</v>
      </c>
      <c r="D207" s="77" t="s">
        <v>3872</v>
      </c>
    </row>
    <row r="208" spans="1:10" x14ac:dyDescent="0.15">
      <c r="A208" s="77" t="s">
        <v>3899</v>
      </c>
      <c r="B208" s="77">
        <v>30</v>
      </c>
      <c r="C208" s="361" t="s">
        <v>5204</v>
      </c>
      <c r="D208" s="77" t="s">
        <v>3872</v>
      </c>
    </row>
    <row r="209" spans="1:4" x14ac:dyDescent="0.15">
      <c r="A209" s="77" t="s">
        <v>3900</v>
      </c>
      <c r="B209" s="77">
        <v>5</v>
      </c>
      <c r="C209" s="361" t="s">
        <v>5205</v>
      </c>
      <c r="D209" s="77" t="s">
        <v>3872</v>
      </c>
    </row>
    <row r="210" spans="1:4" x14ac:dyDescent="0.15">
      <c r="A210" s="77" t="s">
        <v>3901</v>
      </c>
      <c r="B210" s="77">
        <v>25</v>
      </c>
      <c r="C210" s="361" t="s">
        <v>5206</v>
      </c>
      <c r="D210" s="77" t="s">
        <v>3872</v>
      </c>
    </row>
    <row r="211" spans="1:4" x14ac:dyDescent="0.15">
      <c r="A211" s="77" t="s">
        <v>3902</v>
      </c>
      <c r="B211" s="77">
        <v>18</v>
      </c>
      <c r="C211" s="361" t="s">
        <v>5207</v>
      </c>
      <c r="D211" s="77" t="s">
        <v>3872</v>
      </c>
    </row>
    <row r="212" spans="1:4" x14ac:dyDescent="0.15">
      <c r="A212" s="77" t="s">
        <v>3903</v>
      </c>
      <c r="B212" s="77">
        <v>10</v>
      </c>
      <c r="C212" s="361" t="s">
        <v>5208</v>
      </c>
      <c r="D212" s="77" t="s">
        <v>3872</v>
      </c>
    </row>
    <row r="213" spans="1:4" x14ac:dyDescent="0.15">
      <c r="A213" s="77" t="s">
        <v>3904</v>
      </c>
      <c r="B213" s="77">
        <v>20</v>
      </c>
      <c r="C213" s="361" t="s">
        <v>5209</v>
      </c>
      <c r="D213" s="77" t="s">
        <v>3872</v>
      </c>
    </row>
    <row r="214" spans="1:4" x14ac:dyDescent="0.15">
      <c r="A214" s="77" t="s">
        <v>3905</v>
      </c>
      <c r="B214" s="77">
        <v>5</v>
      </c>
      <c r="C214" s="361" t="s">
        <v>5210</v>
      </c>
      <c r="D214" s="77" t="s">
        <v>3872</v>
      </c>
    </row>
    <row r="215" spans="1:4" x14ac:dyDescent="0.15">
      <c r="A215" s="77" t="s">
        <v>3906</v>
      </c>
      <c r="B215" s="77">
        <v>10</v>
      </c>
      <c r="C215" s="361" t="s">
        <v>5211</v>
      </c>
      <c r="D215" s="77" t="s">
        <v>3872</v>
      </c>
    </row>
    <row r="216" spans="1:4" x14ac:dyDescent="0.15">
      <c r="A216" s="77" t="s">
        <v>3907</v>
      </c>
      <c r="B216" s="77">
        <v>20</v>
      </c>
      <c r="C216" s="361" t="s">
        <v>5212</v>
      </c>
      <c r="D216" s="77" t="s">
        <v>3872</v>
      </c>
    </row>
    <row r="217" spans="1:4" x14ac:dyDescent="0.15">
      <c r="A217" s="77" t="s">
        <v>3908</v>
      </c>
      <c r="B217" s="77">
        <v>30</v>
      </c>
      <c r="C217" s="361" t="s">
        <v>5213</v>
      </c>
      <c r="D217" s="77" t="s">
        <v>3872</v>
      </c>
    </row>
    <row r="218" spans="1:4" x14ac:dyDescent="0.15">
      <c r="A218" s="77" t="s">
        <v>3909</v>
      </c>
      <c r="B218" s="77">
        <v>15</v>
      </c>
      <c r="C218" s="361" t="s">
        <v>5214</v>
      </c>
      <c r="D218" s="77" t="s">
        <v>3872</v>
      </c>
    </row>
    <row r="219" spans="1:4" x14ac:dyDescent="0.15">
      <c r="C219" s="77"/>
    </row>
    <row r="220" spans="1:4" x14ac:dyDescent="0.15">
      <c r="A220" s="78" t="s">
        <v>3910</v>
      </c>
    </row>
    <row r="221" spans="1:4" x14ac:dyDescent="0.15">
      <c r="A221" s="77" t="s">
        <v>3912</v>
      </c>
      <c r="B221" s="77">
        <v>5</v>
      </c>
      <c r="C221" s="361" t="s">
        <v>5272</v>
      </c>
      <c r="D221" s="77" t="s">
        <v>3911</v>
      </c>
    </row>
    <row r="222" spans="1:4" x14ac:dyDescent="0.15">
      <c r="A222" s="77" t="s">
        <v>3913</v>
      </c>
      <c r="B222" s="77">
        <v>7</v>
      </c>
      <c r="C222" s="361" t="s">
        <v>5273</v>
      </c>
      <c r="D222" s="77" t="s">
        <v>3911</v>
      </c>
    </row>
    <row r="223" spans="1:4" x14ac:dyDescent="0.15">
      <c r="A223" s="77" t="s">
        <v>3914</v>
      </c>
      <c r="B223" s="77">
        <v>10</v>
      </c>
      <c r="C223" s="361" t="s">
        <v>5275</v>
      </c>
      <c r="D223" s="77" t="s">
        <v>3911</v>
      </c>
    </row>
    <row r="224" spans="1:4" x14ac:dyDescent="0.15">
      <c r="A224" s="77" t="s">
        <v>3915</v>
      </c>
      <c r="B224" s="77">
        <v>15</v>
      </c>
      <c r="C224" s="361" t="s">
        <v>5274</v>
      </c>
      <c r="D224" s="77" t="s">
        <v>3911</v>
      </c>
    </row>
    <row r="225" spans="1:4" x14ac:dyDescent="0.15">
      <c r="A225" s="77" t="s">
        <v>3916</v>
      </c>
      <c r="B225" s="77">
        <v>17</v>
      </c>
      <c r="C225" s="361" t="s">
        <v>5276</v>
      </c>
      <c r="D225" s="77" t="s">
        <v>3911</v>
      </c>
    </row>
    <row r="226" spans="1:4" x14ac:dyDescent="0.15">
      <c r="A226" s="77" t="s">
        <v>3917</v>
      </c>
      <c r="B226" s="77">
        <v>20</v>
      </c>
      <c r="C226" s="361" t="s">
        <v>5278</v>
      </c>
      <c r="D226" s="77" t="s">
        <v>3911</v>
      </c>
    </row>
    <row r="227" spans="1:4" x14ac:dyDescent="0.15">
      <c r="A227" s="77" t="s">
        <v>3918</v>
      </c>
      <c r="B227" s="77">
        <v>25</v>
      </c>
      <c r="C227" s="361" t="s">
        <v>5277</v>
      </c>
      <c r="D227" s="77" t="s">
        <v>3911</v>
      </c>
    </row>
    <row r="228" spans="1:4" x14ac:dyDescent="0.15">
      <c r="A228" s="77" t="s">
        <v>3919</v>
      </c>
      <c r="B228" s="77">
        <v>40</v>
      </c>
      <c r="C228" s="361" t="s">
        <v>5279</v>
      </c>
      <c r="D228" s="77" t="s">
        <v>3911</v>
      </c>
    </row>
    <row r="229" spans="1:4" x14ac:dyDescent="0.15">
      <c r="A229" s="77" t="s">
        <v>3920</v>
      </c>
      <c r="B229" s="77">
        <v>5</v>
      </c>
      <c r="C229" s="361" t="s">
        <v>5280</v>
      </c>
      <c r="D229" s="77" t="s">
        <v>3911</v>
      </c>
    </row>
    <row r="230" spans="1:4" x14ac:dyDescent="0.15">
      <c r="A230" s="77" t="s">
        <v>3921</v>
      </c>
      <c r="B230" s="77">
        <v>7</v>
      </c>
      <c r="C230" s="361" t="s">
        <v>5281</v>
      </c>
      <c r="D230" s="77" t="s">
        <v>3911</v>
      </c>
    </row>
    <row r="231" spans="1:4" x14ac:dyDescent="0.15">
      <c r="A231" s="77" t="s">
        <v>3922</v>
      </c>
      <c r="B231" s="77">
        <v>10</v>
      </c>
      <c r="C231" s="361" t="s">
        <v>5281</v>
      </c>
      <c r="D231" s="77" t="s">
        <v>3911</v>
      </c>
    </row>
    <row r="232" spans="1:4" x14ac:dyDescent="0.15">
      <c r="A232" s="77" t="s">
        <v>3923</v>
      </c>
      <c r="B232" s="77">
        <v>15</v>
      </c>
      <c r="C232" s="361" t="s">
        <v>5282</v>
      </c>
      <c r="D232" s="77" t="s">
        <v>3911</v>
      </c>
    </row>
    <row r="233" spans="1:4" x14ac:dyDescent="0.15">
      <c r="A233" s="77" t="s">
        <v>3924</v>
      </c>
      <c r="B233" s="77">
        <v>17</v>
      </c>
      <c r="C233" s="361" t="s">
        <v>5283</v>
      </c>
      <c r="D233" s="77" t="s">
        <v>3911</v>
      </c>
    </row>
    <row r="234" spans="1:4" x14ac:dyDescent="0.15">
      <c r="A234" s="77" t="s">
        <v>3925</v>
      </c>
      <c r="B234" s="77">
        <v>20</v>
      </c>
      <c r="C234" s="361" t="s">
        <v>5284</v>
      </c>
      <c r="D234" s="77" t="s">
        <v>3911</v>
      </c>
    </row>
    <row r="235" spans="1:4" x14ac:dyDescent="0.15">
      <c r="A235" s="77" t="s">
        <v>3926</v>
      </c>
      <c r="B235" s="77">
        <v>25</v>
      </c>
      <c r="C235" s="361" t="s">
        <v>5285</v>
      </c>
      <c r="D235" s="77" t="s">
        <v>3911</v>
      </c>
    </row>
    <row r="236" spans="1:4" x14ac:dyDescent="0.15">
      <c r="A236" s="77" t="s">
        <v>3927</v>
      </c>
      <c r="B236" s="77">
        <v>40</v>
      </c>
      <c r="C236" s="361" t="s">
        <v>5286</v>
      </c>
      <c r="D236" s="77" t="s">
        <v>3911</v>
      </c>
    </row>
    <row r="237" spans="1:4" x14ac:dyDescent="0.15">
      <c r="A237" s="77" t="s">
        <v>3928</v>
      </c>
      <c r="B237" s="77">
        <v>5</v>
      </c>
      <c r="C237" s="361" t="s">
        <v>5287</v>
      </c>
      <c r="D237" s="77" t="s">
        <v>3911</v>
      </c>
    </row>
    <row r="238" spans="1:4" x14ac:dyDescent="0.15">
      <c r="A238" s="77" t="s">
        <v>3929</v>
      </c>
      <c r="B238" s="77">
        <v>15</v>
      </c>
      <c r="C238" s="361" t="s">
        <v>5288</v>
      </c>
      <c r="D238" s="77" t="s">
        <v>3911</v>
      </c>
    </row>
    <row r="239" spans="1:4" x14ac:dyDescent="0.15">
      <c r="A239" s="77" t="s">
        <v>3930</v>
      </c>
      <c r="B239" s="77">
        <v>3</v>
      </c>
      <c r="C239" s="361" t="s">
        <v>5289</v>
      </c>
      <c r="D239" s="77" t="s">
        <v>3911</v>
      </c>
    </row>
    <row r="240" spans="1:4" x14ac:dyDescent="0.15">
      <c r="A240" s="77" t="s">
        <v>3931</v>
      </c>
      <c r="B240" s="77">
        <v>7</v>
      </c>
      <c r="C240" s="361" t="s">
        <v>5290</v>
      </c>
      <c r="D240" s="77" t="s">
        <v>3911</v>
      </c>
    </row>
    <row r="241" spans="1:4" x14ac:dyDescent="0.15">
      <c r="A241" s="77" t="s">
        <v>3932</v>
      </c>
      <c r="B241" s="77">
        <v>3</v>
      </c>
      <c r="C241" s="361" t="s">
        <v>5296</v>
      </c>
      <c r="D241" s="77" t="s">
        <v>3911</v>
      </c>
    </row>
    <row r="242" spans="1:4" x14ac:dyDescent="0.15">
      <c r="A242" s="77" t="s">
        <v>3933</v>
      </c>
      <c r="B242" s="77">
        <v>7</v>
      </c>
      <c r="C242" s="361" t="s">
        <v>5296</v>
      </c>
      <c r="D242" s="77" t="s">
        <v>3911</v>
      </c>
    </row>
    <row r="243" spans="1:4" x14ac:dyDescent="0.15">
      <c r="A243" s="77" t="s">
        <v>3934</v>
      </c>
      <c r="B243" s="367">
        <v>3</v>
      </c>
      <c r="C243" s="361" t="s">
        <v>5297</v>
      </c>
      <c r="D243" s="77" t="s">
        <v>3911</v>
      </c>
    </row>
    <row r="244" spans="1:4" x14ac:dyDescent="0.15">
      <c r="A244" s="77" t="s">
        <v>3935</v>
      </c>
      <c r="B244" s="77">
        <v>5</v>
      </c>
      <c r="C244" s="361" t="s">
        <v>5291</v>
      </c>
      <c r="D244" s="77" t="s">
        <v>3911</v>
      </c>
    </row>
    <row r="245" spans="1:4" x14ac:dyDescent="0.15">
      <c r="A245" s="77" t="s">
        <v>3936</v>
      </c>
      <c r="B245" s="77">
        <v>10</v>
      </c>
      <c r="C245" s="361" t="s">
        <v>5292</v>
      </c>
      <c r="D245" s="77" t="s">
        <v>3911</v>
      </c>
    </row>
    <row r="246" spans="1:4" x14ac:dyDescent="0.15">
      <c r="A246" s="77" t="s">
        <v>3937</v>
      </c>
      <c r="B246" s="77">
        <v>15</v>
      </c>
      <c r="C246" s="361" t="s">
        <v>5293</v>
      </c>
      <c r="D246" s="77" t="s">
        <v>3911</v>
      </c>
    </row>
    <row r="247" spans="1:4" x14ac:dyDescent="0.15">
      <c r="A247" s="77" t="s">
        <v>3938</v>
      </c>
      <c r="B247" s="77">
        <v>20</v>
      </c>
      <c r="C247" s="361" t="s">
        <v>5294</v>
      </c>
      <c r="D247" s="77" t="s">
        <v>3911</v>
      </c>
    </row>
    <row r="248" spans="1:4" x14ac:dyDescent="0.15">
      <c r="A248" s="77" t="s">
        <v>3939</v>
      </c>
      <c r="B248" s="77">
        <v>30</v>
      </c>
      <c r="C248" s="361" t="s">
        <v>5295</v>
      </c>
      <c r="D248" s="77" t="s">
        <v>3911</v>
      </c>
    </row>
    <row r="250" spans="1:4" x14ac:dyDescent="0.15">
      <c r="A250" s="78" t="s">
        <v>5215</v>
      </c>
    </row>
    <row r="251" spans="1:4" x14ac:dyDescent="0.15">
      <c r="A251" s="77" t="s">
        <v>5216</v>
      </c>
      <c r="B251" s="77">
        <v>0</v>
      </c>
      <c r="C251" s="361" t="s">
        <v>5218</v>
      </c>
      <c r="D251" s="77" t="s">
        <v>5215</v>
      </c>
    </row>
    <row r="252" spans="1:4" x14ac:dyDescent="0.15">
      <c r="A252" s="77" t="s">
        <v>5217</v>
      </c>
      <c r="B252" s="77">
        <v>0</v>
      </c>
      <c r="C252" s="361" t="s">
        <v>5219</v>
      </c>
      <c r="D252" s="77" t="s">
        <v>5215</v>
      </c>
    </row>
    <row r="253" spans="1:4" x14ac:dyDescent="0.15">
      <c r="A253" s="77" t="s">
        <v>5220</v>
      </c>
      <c r="B253" s="77">
        <v>10</v>
      </c>
      <c r="C253" s="361" t="s">
        <v>5246</v>
      </c>
      <c r="D253" s="77" t="s">
        <v>5215</v>
      </c>
    </row>
    <row r="254" spans="1:4" x14ac:dyDescent="0.15">
      <c r="A254" s="77" t="s">
        <v>5221</v>
      </c>
      <c r="B254" s="77">
        <v>15</v>
      </c>
      <c r="C254" s="361" t="s">
        <v>5247</v>
      </c>
      <c r="D254" s="77" t="s">
        <v>5215</v>
      </c>
    </row>
    <row r="255" spans="1:4" x14ac:dyDescent="0.15">
      <c r="A255" s="77" t="s">
        <v>5222</v>
      </c>
      <c r="B255" s="77">
        <v>25</v>
      </c>
      <c r="C255" s="361" t="s">
        <v>5248</v>
      </c>
      <c r="D255" s="77" t="s">
        <v>5215</v>
      </c>
    </row>
    <row r="256" spans="1:4" x14ac:dyDescent="0.15">
      <c r="A256" s="77" t="s">
        <v>5223</v>
      </c>
      <c r="B256" s="77">
        <v>7</v>
      </c>
      <c r="C256" s="361" t="s">
        <v>5249</v>
      </c>
      <c r="D256" s="77" t="s">
        <v>5215</v>
      </c>
    </row>
    <row r="257" spans="1:4" x14ac:dyDescent="0.15">
      <c r="A257" s="77" t="s">
        <v>5224</v>
      </c>
      <c r="B257" s="77">
        <v>10</v>
      </c>
      <c r="C257" s="361" t="s">
        <v>5250</v>
      </c>
      <c r="D257" s="77" t="s">
        <v>5215</v>
      </c>
    </row>
    <row r="258" spans="1:4" x14ac:dyDescent="0.15">
      <c r="A258" s="77" t="s">
        <v>5225</v>
      </c>
      <c r="B258" s="77">
        <v>3</v>
      </c>
      <c r="C258" s="361" t="s">
        <v>5251</v>
      </c>
      <c r="D258" s="77" t="s">
        <v>5215</v>
      </c>
    </row>
    <row r="259" spans="1:4" x14ac:dyDescent="0.15">
      <c r="A259" s="77" t="s">
        <v>5226</v>
      </c>
      <c r="B259" s="77">
        <v>10</v>
      </c>
      <c r="C259" s="361" t="s">
        <v>5252</v>
      </c>
      <c r="D259" s="77" t="s">
        <v>5215</v>
      </c>
    </row>
    <row r="260" spans="1:4" x14ac:dyDescent="0.15">
      <c r="A260" s="77" t="s">
        <v>5227</v>
      </c>
      <c r="B260" s="77">
        <v>15</v>
      </c>
      <c r="C260" s="361" t="s">
        <v>5253</v>
      </c>
      <c r="D260" s="77" t="s">
        <v>5215</v>
      </c>
    </row>
    <row r="261" spans="1:4" x14ac:dyDescent="0.15">
      <c r="A261" s="77" t="s">
        <v>5228</v>
      </c>
      <c r="B261" s="77">
        <v>20</v>
      </c>
      <c r="C261" s="361" t="s">
        <v>5254</v>
      </c>
      <c r="D261" s="77" t="s">
        <v>5215</v>
      </c>
    </row>
    <row r="262" spans="1:4" x14ac:dyDescent="0.15">
      <c r="A262" s="77" t="s">
        <v>5229</v>
      </c>
      <c r="B262" s="77">
        <v>0</v>
      </c>
      <c r="C262" s="361" t="s">
        <v>5255</v>
      </c>
      <c r="D262" s="77" t="s">
        <v>5215</v>
      </c>
    </row>
    <row r="263" spans="1:4" x14ac:dyDescent="0.15">
      <c r="A263" s="77" t="s">
        <v>5230</v>
      </c>
      <c r="B263" s="77">
        <v>5</v>
      </c>
      <c r="C263" s="361" t="s">
        <v>5256</v>
      </c>
      <c r="D263" s="77" t="s">
        <v>5215</v>
      </c>
    </row>
    <row r="264" spans="1:4" x14ac:dyDescent="0.15">
      <c r="A264" s="77" t="s">
        <v>5231</v>
      </c>
      <c r="B264" s="77">
        <v>10</v>
      </c>
      <c r="C264" s="361" t="s">
        <v>5257</v>
      </c>
      <c r="D264" s="77" t="s">
        <v>5215</v>
      </c>
    </row>
    <row r="265" spans="1:4" x14ac:dyDescent="0.15">
      <c r="A265" s="77" t="s">
        <v>5232</v>
      </c>
      <c r="B265" s="77">
        <v>15</v>
      </c>
      <c r="C265" s="361" t="s">
        <v>5258</v>
      </c>
      <c r="D265" s="77" t="s">
        <v>5215</v>
      </c>
    </row>
    <row r="266" spans="1:4" x14ac:dyDescent="0.15">
      <c r="A266" s="77" t="s">
        <v>5233</v>
      </c>
      <c r="B266" s="77">
        <v>20</v>
      </c>
      <c r="C266" s="361" t="s">
        <v>5259</v>
      </c>
      <c r="D266" s="77" t="s">
        <v>5215</v>
      </c>
    </row>
    <row r="267" spans="1:4" x14ac:dyDescent="0.15">
      <c r="A267" s="77" t="s">
        <v>5234</v>
      </c>
      <c r="B267" s="77">
        <v>10</v>
      </c>
      <c r="C267" s="361" t="s">
        <v>5260</v>
      </c>
      <c r="D267" s="77" t="s">
        <v>5215</v>
      </c>
    </row>
    <row r="268" spans="1:4" x14ac:dyDescent="0.15">
      <c r="A268" s="77" t="s">
        <v>5235</v>
      </c>
      <c r="B268" s="77">
        <v>0</v>
      </c>
      <c r="C268" s="361" t="s">
        <v>5261</v>
      </c>
      <c r="D268" s="77" t="s">
        <v>5215</v>
      </c>
    </row>
    <row r="269" spans="1:4" x14ac:dyDescent="0.15">
      <c r="A269" s="77" t="s">
        <v>5236</v>
      </c>
      <c r="B269" s="77">
        <v>5</v>
      </c>
      <c r="C269" s="361" t="s">
        <v>5262</v>
      </c>
      <c r="D269" s="77" t="s">
        <v>5215</v>
      </c>
    </row>
    <row r="270" spans="1:4" x14ac:dyDescent="0.15">
      <c r="A270" s="77" t="s">
        <v>5237</v>
      </c>
      <c r="B270" s="77">
        <v>10</v>
      </c>
      <c r="C270" s="361" t="s">
        <v>5263</v>
      </c>
      <c r="D270" s="77" t="s">
        <v>5215</v>
      </c>
    </row>
    <row r="271" spans="1:4" x14ac:dyDescent="0.15">
      <c r="A271" s="77" t="s">
        <v>5238</v>
      </c>
      <c r="B271" s="77">
        <v>20</v>
      </c>
      <c r="C271" s="361" t="s">
        <v>5264</v>
      </c>
      <c r="D271" s="77" t="s">
        <v>5215</v>
      </c>
    </row>
    <row r="272" spans="1:4" x14ac:dyDescent="0.15">
      <c r="A272" s="77" t="s">
        <v>5239</v>
      </c>
      <c r="B272" s="77">
        <v>10</v>
      </c>
      <c r="C272" s="361" t="s">
        <v>5267</v>
      </c>
      <c r="D272" s="77" t="s">
        <v>5215</v>
      </c>
    </row>
    <row r="273" spans="1:4" x14ac:dyDescent="0.15">
      <c r="A273" s="77" t="s">
        <v>5240</v>
      </c>
      <c r="B273" s="77">
        <v>20</v>
      </c>
      <c r="C273" s="361" t="s">
        <v>5265</v>
      </c>
      <c r="D273" s="77" t="s">
        <v>5215</v>
      </c>
    </row>
    <row r="274" spans="1:4" x14ac:dyDescent="0.15">
      <c r="A274" s="77" t="s">
        <v>5241</v>
      </c>
      <c r="B274" s="77">
        <v>30</v>
      </c>
      <c r="C274" s="361" t="s">
        <v>5266</v>
      </c>
      <c r="D274" s="77" t="s">
        <v>5215</v>
      </c>
    </row>
    <row r="275" spans="1:4" x14ac:dyDescent="0.15">
      <c r="A275" s="77" t="s">
        <v>5242</v>
      </c>
      <c r="B275" s="77">
        <v>15</v>
      </c>
      <c r="C275" s="361" t="s">
        <v>5268</v>
      </c>
      <c r="D275" s="77" t="s">
        <v>5215</v>
      </c>
    </row>
    <row r="276" spans="1:4" x14ac:dyDescent="0.15">
      <c r="A276" s="77" t="s">
        <v>5243</v>
      </c>
      <c r="B276" s="77">
        <v>30</v>
      </c>
      <c r="C276" s="361" t="s">
        <v>5269</v>
      </c>
      <c r="D276" s="77" t="s">
        <v>5215</v>
      </c>
    </row>
    <row r="277" spans="1:4" x14ac:dyDescent="0.15">
      <c r="A277" s="77" t="s">
        <v>5244</v>
      </c>
      <c r="B277" s="77">
        <v>3</v>
      </c>
      <c r="C277" s="361" t="s">
        <v>5270</v>
      </c>
      <c r="D277" s="77" t="s">
        <v>5215</v>
      </c>
    </row>
    <row r="278" spans="1:4" x14ac:dyDescent="0.15">
      <c r="A278" s="77" t="s">
        <v>5245</v>
      </c>
      <c r="B278" s="77">
        <v>0</v>
      </c>
      <c r="C278" s="361" t="s">
        <v>5271</v>
      </c>
      <c r="D278" s="77" t="s">
        <v>5215</v>
      </c>
    </row>
  </sheetData>
  <sheetProtection selectLockedCells="1" selectUnlockedCells="1"/>
  <pageMargins left="0.78749999999999998" right="0.78749999999999998" top="1.0527777777777778" bottom="1.0527777777777778" header="0.78749999999999998" footer="0.78749999999999998"/>
  <pageSetup paperSize="9" firstPageNumber="0" orientation="portrait" horizontalDpi="300" verticalDpi="300"/>
  <headerFooter alignWithMargins="0">
    <oddHeader>&amp;C&amp;"Times New Roman,Normaali"&amp;12&amp;A</oddHeader>
    <oddFooter>&amp;C&amp;"Times New Roman,Normaali"&amp;12Sivu &amp;P</oddFooter>
  </headerFooter>
  <tableParts count="2">
    <tablePart r:id="rId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863757-E83D-4468-8DF8-B9F5511D4F95}">
  <dimension ref="A1:F174"/>
  <sheetViews>
    <sheetView workbookViewId="0">
      <selection activeCell="F78" sqref="F78"/>
    </sheetView>
  </sheetViews>
  <sheetFormatPr defaultRowHeight="11.25" x14ac:dyDescent="0.2"/>
  <cols>
    <col min="1" max="1" width="13.28515625" style="74" customWidth="1"/>
    <col min="2" max="2" width="4.140625" style="74" bestFit="1" customWidth="1"/>
    <col min="3" max="3" width="8.7109375" style="74" bestFit="1" customWidth="1"/>
    <col min="4" max="4" width="5.42578125" style="74" bestFit="1" customWidth="1"/>
    <col min="5" max="5" width="48.140625" style="74" bestFit="1" customWidth="1"/>
    <col min="6" max="16384" width="9.140625" style="74"/>
  </cols>
  <sheetData>
    <row r="1" spans="1:6" x14ac:dyDescent="0.2">
      <c r="A1" s="75" t="s">
        <v>238</v>
      </c>
      <c r="B1" s="75" t="s">
        <v>252</v>
      </c>
      <c r="C1" s="75" t="s">
        <v>356</v>
      </c>
      <c r="D1" s="75" t="s">
        <v>286</v>
      </c>
      <c r="E1" s="75" t="s">
        <v>3994</v>
      </c>
      <c r="F1" s="75" t="s">
        <v>4623</v>
      </c>
    </row>
    <row r="2" spans="1:6" x14ac:dyDescent="0.2">
      <c r="A2" s="74" t="s">
        <v>4331</v>
      </c>
      <c r="B2" s="74">
        <v>20</v>
      </c>
      <c r="C2" s="74">
        <f>3/Taulukko2[[#This Row],['#]]</f>
        <v>0.15</v>
      </c>
      <c r="D2" s="82" t="s">
        <v>4430</v>
      </c>
      <c r="E2" s="74" t="s">
        <v>4466</v>
      </c>
      <c r="F2" s="74">
        <f>HLOOKUP(Stats!$B$2,HW!$H$163:$BT$167,5,FALSE)*Taulukko2[[#This Row],[Weight]]</f>
        <v>0.15</v>
      </c>
    </row>
    <row r="3" spans="1:6" x14ac:dyDescent="0.2">
      <c r="A3" s="74" t="s">
        <v>4323</v>
      </c>
      <c r="B3" s="74">
        <v>1</v>
      </c>
      <c r="C3" s="74">
        <v>2.5</v>
      </c>
      <c r="D3" s="82" t="s">
        <v>4430</v>
      </c>
      <c r="E3" s="74" t="s">
        <v>4467</v>
      </c>
      <c r="F3" s="74">
        <f>Taulukko2[[#This Row],[Weight]]</f>
        <v>2.5</v>
      </c>
    </row>
    <row r="4" spans="1:6" x14ac:dyDescent="0.2">
      <c r="A4" s="74" t="s">
        <v>4324</v>
      </c>
      <c r="B4" s="74">
        <v>1</v>
      </c>
      <c r="C4" s="74">
        <v>5.5</v>
      </c>
      <c r="D4" s="82" t="s">
        <v>4430</v>
      </c>
      <c r="E4" s="74" t="s">
        <v>4468</v>
      </c>
      <c r="F4" s="74">
        <f>HLOOKUP(Stats!$B$2,HW!$H$163:$BT$167,5,FALSE)*Taulukko2[[#This Row],[Weight]]</f>
        <v>5.5</v>
      </c>
    </row>
    <row r="5" spans="1:6" x14ac:dyDescent="0.2">
      <c r="A5" s="74" t="s">
        <v>4325</v>
      </c>
      <c r="B5" s="74">
        <v>1</v>
      </c>
      <c r="C5" s="74">
        <v>9.5</v>
      </c>
      <c r="D5" s="82" t="s">
        <v>4430</v>
      </c>
      <c r="E5" s="74" t="s">
        <v>4469</v>
      </c>
      <c r="F5" s="74">
        <f>HLOOKUP(Stats!$B$2,HW!$H$163:$BT$167,5,FALSE)*Taulukko2[[#This Row],[Weight]]</f>
        <v>9.5</v>
      </c>
    </row>
    <row r="6" spans="1:6" x14ac:dyDescent="0.2">
      <c r="A6" s="74" t="s">
        <v>4326</v>
      </c>
      <c r="B6" s="74">
        <v>1</v>
      </c>
      <c r="C6" s="74">
        <v>3.5</v>
      </c>
      <c r="D6" s="82" t="s">
        <v>4430</v>
      </c>
      <c r="E6" s="74" t="s">
        <v>4470</v>
      </c>
      <c r="F6" s="74">
        <f>HLOOKUP(Stats!$B$2,HW!$H$163:$BT$167,5,FALSE)*Taulukko2[[#This Row],[Weight]]</f>
        <v>3.5</v>
      </c>
    </row>
    <row r="7" spans="1:6" x14ac:dyDescent="0.2">
      <c r="A7" s="74" t="s">
        <v>4327</v>
      </c>
      <c r="B7" s="74">
        <v>1</v>
      </c>
      <c r="C7" s="74">
        <v>0.25</v>
      </c>
      <c r="D7" s="82" t="s">
        <v>4430</v>
      </c>
      <c r="E7" s="74" t="s">
        <v>4471</v>
      </c>
      <c r="F7" s="74">
        <f>HLOOKUP(Stats!$B$2,HW!$H$163:$BT$167,5,FALSE)*Taulukko2[[#This Row],[Weight]]</f>
        <v>0.25</v>
      </c>
    </row>
    <row r="8" spans="1:6" x14ac:dyDescent="0.2">
      <c r="A8" s="74" t="s">
        <v>4328</v>
      </c>
      <c r="B8" s="74">
        <v>1</v>
      </c>
      <c r="C8" s="74">
        <v>2.5</v>
      </c>
      <c r="D8" s="82" t="s">
        <v>4430</v>
      </c>
      <c r="E8" s="74" t="s">
        <v>4472</v>
      </c>
      <c r="F8" s="74">
        <f>Taulukko2[[#This Row],[Weight]]</f>
        <v>2.5</v>
      </c>
    </row>
    <row r="9" spans="1:6" x14ac:dyDescent="0.2">
      <c r="A9" s="74" t="s">
        <v>4329</v>
      </c>
      <c r="B9" s="74">
        <v>5</v>
      </c>
      <c r="C9" s="74">
        <f>2/Taulukko2[[#This Row],['#]]</f>
        <v>0.4</v>
      </c>
      <c r="D9" s="82" t="s">
        <v>4430</v>
      </c>
      <c r="E9" s="74" t="s">
        <v>4473</v>
      </c>
      <c r="F9" s="74">
        <f>Taulukko2[[#This Row],[Weight]]</f>
        <v>0.4</v>
      </c>
    </row>
    <row r="10" spans="1:6" x14ac:dyDescent="0.2">
      <c r="A10" s="74" t="s">
        <v>4332</v>
      </c>
      <c r="B10" s="74">
        <v>1</v>
      </c>
      <c r="C10" s="74">
        <v>0.25</v>
      </c>
      <c r="D10" s="82" t="s">
        <v>4430</v>
      </c>
      <c r="E10" s="74" t="s">
        <v>4474</v>
      </c>
      <c r="F10" s="74">
        <f>Taulukko2[[#This Row],[Weight]]</f>
        <v>0.25</v>
      </c>
    </row>
    <row r="11" spans="1:6" x14ac:dyDescent="0.2">
      <c r="A11" s="74" t="s">
        <v>4333</v>
      </c>
      <c r="B11" s="74">
        <v>1</v>
      </c>
      <c r="C11" s="74">
        <v>1</v>
      </c>
      <c r="D11" s="82" t="s">
        <v>4430</v>
      </c>
      <c r="E11" s="74" t="s">
        <v>4475</v>
      </c>
      <c r="F11" s="74">
        <f>Taulukko2[[#This Row],[Weight]]</f>
        <v>1</v>
      </c>
    </row>
    <row r="12" spans="1:6" x14ac:dyDescent="0.2">
      <c r="A12" s="74" t="s">
        <v>4334</v>
      </c>
      <c r="B12" s="74">
        <v>1</v>
      </c>
      <c r="C12" s="74">
        <v>5</v>
      </c>
      <c r="D12" s="82" t="s">
        <v>4430</v>
      </c>
      <c r="E12" s="74" t="s">
        <v>4476</v>
      </c>
      <c r="F12" s="74">
        <f>Taulukko2[[#This Row],[Weight]]</f>
        <v>5</v>
      </c>
    </row>
    <row r="13" spans="1:6" x14ac:dyDescent="0.2">
      <c r="A13" s="74" t="s">
        <v>392</v>
      </c>
      <c r="B13" s="74">
        <v>1</v>
      </c>
      <c r="C13" s="74">
        <v>9</v>
      </c>
      <c r="D13" s="82" t="s">
        <v>4430</v>
      </c>
      <c r="E13" s="74" t="s">
        <v>4477</v>
      </c>
      <c r="F13" s="74">
        <f>Taulukko2[[#This Row],[Weight]]</f>
        <v>9</v>
      </c>
    </row>
    <row r="14" spans="1:6" x14ac:dyDescent="0.2">
      <c r="A14" s="74" t="s">
        <v>4335</v>
      </c>
      <c r="B14" s="74">
        <v>10</v>
      </c>
      <c r="C14" s="74">
        <v>0.1</v>
      </c>
      <c r="D14" s="82" t="s">
        <v>4430</v>
      </c>
      <c r="E14" s="74" t="s">
        <v>4478</v>
      </c>
      <c r="F14" s="74">
        <f>Taulukko2[[#This Row],[Weight]]</f>
        <v>0.1</v>
      </c>
    </row>
    <row r="15" spans="1:6" x14ac:dyDescent="0.2">
      <c r="A15" s="74" t="s">
        <v>4336</v>
      </c>
      <c r="B15" s="74">
        <v>1</v>
      </c>
      <c r="C15" s="74">
        <v>1</v>
      </c>
      <c r="D15" s="82" t="s">
        <v>4430</v>
      </c>
      <c r="E15" s="74" t="s">
        <v>4479</v>
      </c>
      <c r="F15" s="74">
        <f>Taulukko2[[#This Row],[Weight]]</f>
        <v>1</v>
      </c>
    </row>
    <row r="16" spans="1:6" x14ac:dyDescent="0.2">
      <c r="A16" s="74" t="s">
        <v>4337</v>
      </c>
      <c r="B16" s="74">
        <v>1</v>
      </c>
      <c r="C16" s="74">
        <v>1</v>
      </c>
      <c r="D16" s="82" t="s">
        <v>4430</v>
      </c>
      <c r="E16" s="74" t="s">
        <v>4480</v>
      </c>
      <c r="F16" s="74">
        <f>HLOOKUP(Stats!$B$2,HW!$H$163:$BT$167,5,FALSE)*Taulukko2[[#This Row],[Weight]]</f>
        <v>1</v>
      </c>
    </row>
    <row r="17" spans="1:6" x14ac:dyDescent="0.2">
      <c r="A17" s="74" t="s">
        <v>4338</v>
      </c>
      <c r="B17" s="74">
        <v>1</v>
      </c>
      <c r="C17" s="74">
        <v>2.5</v>
      </c>
      <c r="D17" s="82" t="s">
        <v>4430</v>
      </c>
      <c r="E17" s="74" t="s">
        <v>4481</v>
      </c>
      <c r="F17" s="74">
        <f>HLOOKUP(Stats!$B$2,HW!$H$163:$BT$167,5,FALSE)*Taulukko2[[#This Row],[Weight]]</f>
        <v>2.5</v>
      </c>
    </row>
    <row r="18" spans="1:6" x14ac:dyDescent="0.2">
      <c r="A18" s="74" t="s">
        <v>4342</v>
      </c>
      <c r="B18" s="74">
        <v>1</v>
      </c>
      <c r="C18" s="74">
        <v>2</v>
      </c>
      <c r="D18" s="82" t="s">
        <v>4430</v>
      </c>
      <c r="E18" s="74" t="s">
        <v>4482</v>
      </c>
      <c r="F18" s="74">
        <f>HLOOKUP(Stats!$B$2,HW!$H$163:$BT$167,5,FALSE)*Taulukko2[[#This Row],[Weight]]</f>
        <v>2</v>
      </c>
    </row>
    <row r="19" spans="1:6" x14ac:dyDescent="0.2">
      <c r="A19" s="74" t="s">
        <v>4339</v>
      </c>
      <c r="B19" s="74">
        <v>1</v>
      </c>
      <c r="C19" s="74">
        <v>7</v>
      </c>
      <c r="D19" s="82" t="s">
        <v>4430</v>
      </c>
      <c r="E19" s="74" t="s">
        <v>4483</v>
      </c>
      <c r="F19" s="74">
        <f>HLOOKUP(Stats!$B$2,HW!$H$163:$BT$167,5,FALSE)*Taulukko2[[#This Row],[Weight]]</f>
        <v>7</v>
      </c>
    </row>
    <row r="20" spans="1:6" x14ac:dyDescent="0.2">
      <c r="A20" s="74" t="s">
        <v>4341</v>
      </c>
      <c r="B20" s="74">
        <v>20</v>
      </c>
      <c r="C20" s="74">
        <f>3/Taulukko2[[#This Row],['#]]</f>
        <v>0.15</v>
      </c>
      <c r="D20" s="82" t="s">
        <v>4430</v>
      </c>
      <c r="E20" s="74" t="s">
        <v>4484</v>
      </c>
      <c r="F20" s="74">
        <f>HLOOKUP(Stats!$B$2,HW!$H$163:$BT$167,5,FALSE)*Taulukko2[[#This Row],[Weight]]</f>
        <v>0.15</v>
      </c>
    </row>
    <row r="21" spans="1:6" x14ac:dyDescent="0.2">
      <c r="A21" s="74" t="s">
        <v>4340</v>
      </c>
      <c r="B21" s="74">
        <v>1</v>
      </c>
      <c r="C21" s="74">
        <v>0.5</v>
      </c>
      <c r="D21" s="82" t="s">
        <v>4430</v>
      </c>
      <c r="E21" s="74" t="s">
        <v>4485</v>
      </c>
      <c r="F21" s="74">
        <f>Taulukko2[[#This Row],[Weight]]</f>
        <v>0.5</v>
      </c>
    </row>
    <row r="22" spans="1:6" x14ac:dyDescent="0.2">
      <c r="A22" s="74" t="s">
        <v>4343</v>
      </c>
      <c r="B22" s="74">
        <v>1</v>
      </c>
      <c r="C22" s="74">
        <v>0.5</v>
      </c>
      <c r="D22" s="82" t="s">
        <v>4430</v>
      </c>
      <c r="E22" s="74" t="s">
        <v>4486</v>
      </c>
      <c r="F22" s="74">
        <f>Taulukko2[[#This Row],[Weight]]</f>
        <v>0.5</v>
      </c>
    </row>
    <row r="23" spans="1:6" x14ac:dyDescent="0.2">
      <c r="A23" s="74" t="s">
        <v>4344</v>
      </c>
      <c r="B23" s="74">
        <v>1</v>
      </c>
      <c r="C23" s="74">
        <v>3.5</v>
      </c>
      <c r="D23" s="82" t="s">
        <v>4430</v>
      </c>
      <c r="E23" s="74" t="s">
        <v>4487</v>
      </c>
      <c r="F23" s="74">
        <f>Taulukko2[[#This Row],[Weight]]</f>
        <v>3.5</v>
      </c>
    </row>
    <row r="24" spans="1:6" x14ac:dyDescent="0.2">
      <c r="A24" s="74" t="s">
        <v>4345</v>
      </c>
      <c r="B24" s="74">
        <v>1</v>
      </c>
      <c r="C24" s="74">
        <v>0.5</v>
      </c>
      <c r="D24" s="82" t="s">
        <v>4430</v>
      </c>
      <c r="E24" s="74" t="s">
        <v>4488</v>
      </c>
      <c r="F24" s="74">
        <f>HLOOKUP(Stats!$B$2,HW!$H$163:$BT$167,5,FALSE)*Taulukko2[[#This Row],[Weight]]</f>
        <v>0.5</v>
      </c>
    </row>
    <row r="25" spans="1:6" x14ac:dyDescent="0.2">
      <c r="A25" s="74" t="s">
        <v>4346</v>
      </c>
      <c r="B25" s="74">
        <v>1</v>
      </c>
      <c r="C25" s="74">
        <v>1</v>
      </c>
      <c r="D25" s="82" t="s">
        <v>4430</v>
      </c>
      <c r="E25" s="74" t="s">
        <v>4489</v>
      </c>
      <c r="F25" s="74">
        <f>HLOOKUP(Stats!$B$2,HW!$H$163:$BT$167,5,FALSE)*Taulukko2[[#This Row],[Weight]]</f>
        <v>1</v>
      </c>
    </row>
    <row r="26" spans="1:6" x14ac:dyDescent="0.2">
      <c r="A26" s="74" t="s">
        <v>4347</v>
      </c>
      <c r="B26" s="74">
        <v>1</v>
      </c>
      <c r="C26" s="74">
        <v>1</v>
      </c>
      <c r="D26" s="82" t="s">
        <v>4430</v>
      </c>
      <c r="E26" s="74" t="s">
        <v>4490</v>
      </c>
      <c r="F26" s="74">
        <f>HLOOKUP(Stats!$B$2,HW!$H$163:$BT$167,5,FALSE)*Taulukko2[[#This Row],[Weight]]</f>
        <v>1</v>
      </c>
    </row>
    <row r="27" spans="1:6" x14ac:dyDescent="0.2">
      <c r="A27" s="74" t="s">
        <v>4348</v>
      </c>
      <c r="B27" s="74">
        <v>1</v>
      </c>
      <c r="C27" s="74">
        <v>2.5</v>
      </c>
      <c r="D27" s="82" t="s">
        <v>4430</v>
      </c>
      <c r="E27" s="74" t="s">
        <v>4491</v>
      </c>
      <c r="F27" s="74">
        <f>HLOOKUP(Stats!$B$2,HW!$H$163:$BT$167,5,FALSE)*Taulukko2[[#This Row],[Weight]]</f>
        <v>2.5</v>
      </c>
    </row>
    <row r="28" spans="1:6" x14ac:dyDescent="0.2">
      <c r="A28" s="74" t="s">
        <v>4349</v>
      </c>
      <c r="B28" s="74">
        <v>1</v>
      </c>
      <c r="C28" s="74">
        <v>4</v>
      </c>
      <c r="D28" s="82" t="s">
        <v>4430</v>
      </c>
      <c r="E28" s="74" t="s">
        <v>4492</v>
      </c>
      <c r="F28" s="74">
        <f>HLOOKUP(Stats!$B$2,HW!$H$163:$BT$167,5,FALSE)*Taulukko2[[#This Row],[Weight]]</f>
        <v>4</v>
      </c>
    </row>
    <row r="29" spans="1:6" x14ac:dyDescent="0.2">
      <c r="A29" s="74" t="s">
        <v>4350</v>
      </c>
      <c r="B29" s="74">
        <v>1</v>
      </c>
      <c r="C29" s="74">
        <v>1</v>
      </c>
      <c r="D29" s="82" t="s">
        <v>4430</v>
      </c>
      <c r="E29" s="74" t="s">
        <v>4493</v>
      </c>
      <c r="F29" s="74">
        <f>HLOOKUP(Stats!$B$2,HW!$H$163:$BT$167,5,FALSE)*Taulukko2[[#This Row],[Weight]]</f>
        <v>1</v>
      </c>
    </row>
    <row r="30" spans="1:6" x14ac:dyDescent="0.2">
      <c r="A30" s="74" t="s">
        <v>4351</v>
      </c>
      <c r="B30" s="74">
        <v>1</v>
      </c>
      <c r="C30" s="74">
        <v>0.5</v>
      </c>
      <c r="D30" s="82" t="s">
        <v>4430</v>
      </c>
      <c r="E30" s="74" t="s">
        <v>4494</v>
      </c>
      <c r="F30" s="74">
        <f>HLOOKUP(Stats!$B$2,HW!$H$163:$BT$167,5,FALSE)*Taulukko2[[#This Row],[Weight]]</f>
        <v>0.5</v>
      </c>
    </row>
    <row r="31" spans="1:6" x14ac:dyDescent="0.2">
      <c r="A31" s="74" t="s">
        <v>4352</v>
      </c>
      <c r="B31" s="74">
        <v>1</v>
      </c>
      <c r="C31" s="74">
        <v>0.25</v>
      </c>
      <c r="D31" s="82" t="s">
        <v>4430</v>
      </c>
      <c r="E31" s="74" t="s">
        <v>4495</v>
      </c>
      <c r="F31" s="74">
        <f>Taulukko2[[#This Row],[Weight]]</f>
        <v>0.25</v>
      </c>
    </row>
    <row r="32" spans="1:6" x14ac:dyDescent="0.2">
      <c r="A32" s="74" t="s">
        <v>4353</v>
      </c>
      <c r="B32" s="74">
        <v>1</v>
      </c>
      <c r="C32" s="74">
        <v>15</v>
      </c>
      <c r="D32" s="82" t="s">
        <v>4430</v>
      </c>
      <c r="E32" s="74" t="s">
        <v>4496</v>
      </c>
      <c r="F32" s="74">
        <f>Taulukko2[[#This Row],[Weight]]</f>
        <v>15</v>
      </c>
    </row>
    <row r="33" spans="1:6" x14ac:dyDescent="0.2">
      <c r="A33" s="74" t="s">
        <v>4354</v>
      </c>
      <c r="B33" s="74">
        <v>1</v>
      </c>
      <c r="C33" s="74">
        <v>1.5</v>
      </c>
      <c r="D33" s="82" t="s">
        <v>4430</v>
      </c>
      <c r="E33" s="74" t="s">
        <v>5571</v>
      </c>
      <c r="F33" s="74">
        <f>HLOOKUP(Stats!$B$2,HW!$H$163:$BT$167,5,FALSE)*Taulukko2[[#This Row],[Weight]]</f>
        <v>1.5</v>
      </c>
    </row>
    <row r="34" spans="1:6" x14ac:dyDescent="0.2">
      <c r="A34" s="74" t="s">
        <v>4355</v>
      </c>
      <c r="B34" s="74">
        <v>1</v>
      </c>
      <c r="C34" s="74">
        <v>0.5</v>
      </c>
      <c r="D34" s="82" t="s">
        <v>4430</v>
      </c>
      <c r="E34" s="74" t="s">
        <v>4497</v>
      </c>
      <c r="F34" s="74">
        <f>HLOOKUP(Stats!$B$2,HW!$H$163:$BT$167,5,FALSE)*Taulukko2[[#This Row],[Weight]]</f>
        <v>0.5</v>
      </c>
    </row>
    <row r="35" spans="1:6" x14ac:dyDescent="0.2">
      <c r="A35" s="74" t="s">
        <v>4356</v>
      </c>
      <c r="B35" s="74">
        <v>1</v>
      </c>
      <c r="C35" s="74">
        <v>0.5</v>
      </c>
      <c r="D35" s="82" t="s">
        <v>4430</v>
      </c>
      <c r="E35" s="74" t="s">
        <v>4498</v>
      </c>
      <c r="F35" s="74">
        <f>HLOOKUP(Stats!$B$2,HW!$H$163:$BT$167,5,FALSE)*Taulukko2[[#This Row],[Weight]]</f>
        <v>0.5</v>
      </c>
    </row>
    <row r="36" spans="1:6" x14ac:dyDescent="0.2">
      <c r="A36" s="74" t="s">
        <v>4357</v>
      </c>
      <c r="B36" s="74">
        <v>20</v>
      </c>
      <c r="C36" s="74">
        <f>0.5/Taulukko2[[#This Row],['#]]</f>
        <v>2.5000000000000001E-2</v>
      </c>
      <c r="D36" s="82" t="s">
        <v>4430</v>
      </c>
      <c r="E36" s="74" t="s">
        <v>4499</v>
      </c>
      <c r="F36" s="74">
        <f>Taulukko2[[#This Row],[Weight]]</f>
        <v>2.5000000000000001E-2</v>
      </c>
    </row>
    <row r="37" spans="1:6" x14ac:dyDescent="0.2">
      <c r="A37" s="74" t="s">
        <v>4358</v>
      </c>
      <c r="B37" s="74">
        <v>1</v>
      </c>
      <c r="C37" s="74">
        <v>4.5</v>
      </c>
      <c r="D37" s="82" t="s">
        <v>4430</v>
      </c>
      <c r="E37" s="74" t="s">
        <v>4500</v>
      </c>
      <c r="F37" s="74">
        <f>HLOOKUP(Stats!$B$2,HW!$H$163:$BT$167,5,FALSE)*Taulukko2[[#This Row],[Weight]]</f>
        <v>4.5</v>
      </c>
    </row>
    <row r="38" spans="1:6" x14ac:dyDescent="0.2">
      <c r="A38" s="74" t="s">
        <v>4359</v>
      </c>
      <c r="B38" s="74">
        <v>1</v>
      </c>
      <c r="C38" s="74">
        <v>1</v>
      </c>
      <c r="D38" s="82" t="s">
        <v>4430</v>
      </c>
      <c r="E38" s="74" t="s">
        <v>4501</v>
      </c>
      <c r="F38" s="74">
        <f>Taulukko2[[#This Row],[Weight]]</f>
        <v>1</v>
      </c>
    </row>
    <row r="39" spans="1:6" x14ac:dyDescent="0.2">
      <c r="A39" s="74" t="s">
        <v>4360</v>
      </c>
      <c r="B39" s="74">
        <v>1</v>
      </c>
      <c r="C39" s="74">
        <v>3</v>
      </c>
      <c r="D39" s="82" t="s">
        <v>4430</v>
      </c>
      <c r="E39" s="74" t="s">
        <v>4502</v>
      </c>
      <c r="F39" s="74">
        <f>HLOOKUP(Stats!$B$2,HW!$H$163:$BT$167,5,FALSE)*Taulukko2[[#This Row],[Weight]]</f>
        <v>3</v>
      </c>
    </row>
    <row r="40" spans="1:6" x14ac:dyDescent="0.2">
      <c r="A40" s="74" t="s">
        <v>4361</v>
      </c>
      <c r="B40" s="74">
        <v>1</v>
      </c>
      <c r="C40" s="74">
        <v>3</v>
      </c>
      <c r="D40" s="82" t="s">
        <v>4430</v>
      </c>
      <c r="E40" s="74" t="s">
        <v>4503</v>
      </c>
      <c r="F40" s="74">
        <f>HLOOKUP(Stats!$B$2,HW!$H$163:$BT$167,5,FALSE)*Taulukko2[[#This Row],[Weight]]</f>
        <v>3</v>
      </c>
    </row>
    <row r="41" spans="1:6" x14ac:dyDescent="0.2">
      <c r="A41" s="74" t="s">
        <v>4362</v>
      </c>
      <c r="B41" s="74">
        <v>1</v>
      </c>
      <c r="C41" s="74">
        <v>1</v>
      </c>
      <c r="D41" s="82" t="s">
        <v>4430</v>
      </c>
      <c r="E41" s="74" t="s">
        <v>4504</v>
      </c>
      <c r="F41" s="74">
        <f>HLOOKUP(Stats!$B$2,HW!$H$163:$BT$167,5,FALSE)*Taulukko2[[#This Row],[Weight]]</f>
        <v>1</v>
      </c>
    </row>
    <row r="42" spans="1:6" x14ac:dyDescent="0.2">
      <c r="A42" s="74" t="s">
        <v>4363</v>
      </c>
      <c r="B42" s="74">
        <v>1</v>
      </c>
      <c r="C42" s="74">
        <v>1.5</v>
      </c>
      <c r="D42" s="82" t="s">
        <v>4430</v>
      </c>
      <c r="E42" s="74" t="s">
        <v>4505</v>
      </c>
      <c r="F42" s="74">
        <f>HLOOKUP(Stats!$B$2,HW!$H$163:$BT$167,5,FALSE)*Taulukko2[[#This Row],[Weight]]</f>
        <v>1.5</v>
      </c>
    </row>
    <row r="43" spans="1:6" x14ac:dyDescent="0.2">
      <c r="A43" s="74" t="s">
        <v>4364</v>
      </c>
      <c r="B43" s="74">
        <v>10</v>
      </c>
      <c r="C43" s="74">
        <v>2.5000000000000001E-2</v>
      </c>
      <c r="D43" s="82" t="s">
        <v>4430</v>
      </c>
      <c r="E43" s="74" t="s">
        <v>4506</v>
      </c>
      <c r="F43" s="74">
        <f>Taulukko2[[#This Row],[Weight]]</f>
        <v>2.5000000000000001E-2</v>
      </c>
    </row>
    <row r="44" spans="1:6" x14ac:dyDescent="0.2">
      <c r="A44" s="74" t="s">
        <v>4365</v>
      </c>
      <c r="B44" s="74">
        <v>10</v>
      </c>
      <c r="C44" s="74">
        <v>2.5000000000000001E-2</v>
      </c>
      <c r="D44" s="82" t="s">
        <v>4430</v>
      </c>
      <c r="E44" s="74" t="s">
        <v>4507</v>
      </c>
      <c r="F44" s="74">
        <f>Taulukko2[[#This Row],[Weight]]</f>
        <v>2.5000000000000001E-2</v>
      </c>
    </row>
    <row r="45" spans="1:6" x14ac:dyDescent="0.2">
      <c r="A45" s="74" t="s">
        <v>4366</v>
      </c>
      <c r="B45" s="74">
        <v>10</v>
      </c>
      <c r="C45" s="74">
        <v>0.2</v>
      </c>
      <c r="D45" s="82" t="s">
        <v>4430</v>
      </c>
      <c r="E45" s="74" t="s">
        <v>4508</v>
      </c>
      <c r="F45" s="74">
        <f>Taulukko2[[#This Row],[Weight]]</f>
        <v>0.2</v>
      </c>
    </row>
    <row r="46" spans="1:6" x14ac:dyDescent="0.2">
      <c r="A46" s="74" t="s">
        <v>4367</v>
      </c>
      <c r="B46" s="74">
        <v>10</v>
      </c>
      <c r="C46" s="74">
        <v>0.25</v>
      </c>
      <c r="D46" s="82" t="s">
        <v>4430</v>
      </c>
      <c r="E46" s="74" t="s">
        <v>4509</v>
      </c>
      <c r="F46" s="74">
        <f>Taulukko2[[#This Row],[Weight]]</f>
        <v>0.25</v>
      </c>
    </row>
    <row r="47" spans="1:6" x14ac:dyDescent="0.2">
      <c r="A47" s="74" t="s">
        <v>4368</v>
      </c>
      <c r="B47" s="74">
        <v>1</v>
      </c>
      <c r="C47" s="74">
        <v>11.5</v>
      </c>
      <c r="D47" s="82" t="s">
        <v>4430</v>
      </c>
      <c r="E47" s="74" t="s">
        <v>4510</v>
      </c>
      <c r="F47" s="74">
        <f>Taulukko2[[#This Row],[Weight]]</f>
        <v>11.5</v>
      </c>
    </row>
    <row r="48" spans="1:6" x14ac:dyDescent="0.2">
      <c r="A48" s="74" t="s">
        <v>4369</v>
      </c>
      <c r="B48" s="74">
        <v>1</v>
      </c>
      <c r="C48" s="74">
        <v>7.5</v>
      </c>
      <c r="D48" s="82" t="s">
        <v>4430</v>
      </c>
      <c r="E48" s="74" t="s">
        <v>4511</v>
      </c>
      <c r="F48" s="74">
        <f>Taulukko2[[#This Row],[Weight]]</f>
        <v>7.5</v>
      </c>
    </row>
    <row r="49" spans="1:6" x14ac:dyDescent="0.2">
      <c r="A49" s="74" t="s">
        <v>4370</v>
      </c>
      <c r="B49" s="74">
        <v>1</v>
      </c>
      <c r="C49" s="74">
        <v>2.5</v>
      </c>
      <c r="D49" s="82" t="s">
        <v>4430</v>
      </c>
      <c r="E49" s="74" t="s">
        <v>4512</v>
      </c>
      <c r="F49" s="74">
        <f>Taulukko2[[#This Row],[Weight]]</f>
        <v>2.5</v>
      </c>
    </row>
    <row r="50" spans="1:6" x14ac:dyDescent="0.2">
      <c r="A50" s="74" t="s">
        <v>4371</v>
      </c>
      <c r="B50" s="74">
        <v>10</v>
      </c>
      <c r="C50" s="74">
        <v>2.5000000000000001E-2</v>
      </c>
      <c r="D50" s="82" t="s">
        <v>4430</v>
      </c>
      <c r="E50" s="74" t="s">
        <v>4513</v>
      </c>
      <c r="F50" s="74">
        <f>Taulukko2[[#This Row],[Weight]]</f>
        <v>2.5000000000000001E-2</v>
      </c>
    </row>
    <row r="51" spans="1:6" x14ac:dyDescent="0.2">
      <c r="A51" s="74" t="s">
        <v>4372</v>
      </c>
      <c r="B51" s="74">
        <v>1</v>
      </c>
      <c r="C51" s="74">
        <v>0.5</v>
      </c>
      <c r="D51" s="82" t="s">
        <v>4430</v>
      </c>
      <c r="E51" s="74" t="s">
        <v>4514</v>
      </c>
      <c r="F51" s="74">
        <f>HLOOKUP(Stats!$B$2,HW!$H$163:$BT$167,5,FALSE)*Taulukko2[[#This Row],[Weight]]</f>
        <v>0.5</v>
      </c>
    </row>
    <row r="52" spans="1:6" x14ac:dyDescent="0.2">
      <c r="A52" s="74" t="s">
        <v>4373</v>
      </c>
      <c r="B52" s="74">
        <v>1</v>
      </c>
      <c r="C52" s="74">
        <v>5.5</v>
      </c>
      <c r="D52" s="82" t="s">
        <v>4430</v>
      </c>
      <c r="E52" s="74" t="s">
        <v>4515</v>
      </c>
      <c r="F52" s="74">
        <f>Taulukko2[[#This Row],[Weight]]</f>
        <v>5.5</v>
      </c>
    </row>
    <row r="53" spans="1:6" x14ac:dyDescent="0.2">
      <c r="A53" s="74" t="s">
        <v>4374</v>
      </c>
      <c r="B53" s="74">
        <v>1</v>
      </c>
      <c r="C53" s="74">
        <v>3</v>
      </c>
      <c r="D53" s="82" t="s">
        <v>4430</v>
      </c>
      <c r="E53" s="74" t="s">
        <v>4516</v>
      </c>
      <c r="F53" s="74">
        <f>HLOOKUP(Stats!$B$2,HW!$H$163:$BT$167,5,FALSE)*Taulukko2[[#This Row],[Weight]]</f>
        <v>3</v>
      </c>
    </row>
    <row r="54" spans="1:6" x14ac:dyDescent="0.2">
      <c r="A54" s="74" t="s">
        <v>4375</v>
      </c>
      <c r="B54" s="74">
        <v>1</v>
      </c>
      <c r="C54" s="74">
        <v>2.5</v>
      </c>
      <c r="D54" s="82" t="s">
        <v>4430</v>
      </c>
      <c r="E54" s="74" t="s">
        <v>4517</v>
      </c>
      <c r="F54" s="74">
        <f>Taulukko2[[#This Row],[Weight]]</f>
        <v>2.5</v>
      </c>
    </row>
    <row r="55" spans="1:6" x14ac:dyDescent="0.2">
      <c r="A55" s="74" t="s">
        <v>4376</v>
      </c>
      <c r="B55" s="74">
        <v>1</v>
      </c>
      <c r="C55" s="74">
        <v>11</v>
      </c>
      <c r="D55" s="82" t="s">
        <v>4430</v>
      </c>
      <c r="E55" s="74" t="s">
        <v>4518</v>
      </c>
      <c r="F55" s="74">
        <f>HLOOKUP(Stats!$B$2,HW!$H$163:$BT$167,5,FALSE)*Taulukko2[[#This Row],[Weight]]</f>
        <v>11</v>
      </c>
    </row>
    <row r="56" spans="1:6" x14ac:dyDescent="0.2">
      <c r="A56" s="74" t="s">
        <v>4377</v>
      </c>
      <c r="B56" s="74">
        <v>1</v>
      </c>
      <c r="C56" s="74">
        <v>5</v>
      </c>
      <c r="D56" s="82" t="s">
        <v>4430</v>
      </c>
      <c r="E56" s="74" t="s">
        <v>4519</v>
      </c>
      <c r="F56" s="74">
        <f>Taulukko2[[#This Row],[Weight]]</f>
        <v>5</v>
      </c>
    </row>
    <row r="57" spans="1:6" x14ac:dyDescent="0.2">
      <c r="A57" s="74" t="s">
        <v>4378</v>
      </c>
      <c r="B57" s="74">
        <v>1</v>
      </c>
      <c r="C57" s="74">
        <v>2.5</v>
      </c>
      <c r="D57" s="82" t="s">
        <v>4430</v>
      </c>
      <c r="E57" s="74" t="s">
        <v>4520</v>
      </c>
      <c r="F57" s="74">
        <f>HLOOKUP(Stats!$B$2,HW!$H$163:$BT$167,5,FALSE)*Taulukko2[[#This Row],[Weight]]</f>
        <v>2.5</v>
      </c>
    </row>
    <row r="58" spans="1:6" x14ac:dyDescent="0.2">
      <c r="A58" s="74" t="s">
        <v>4379</v>
      </c>
      <c r="B58" s="74">
        <v>1</v>
      </c>
      <c r="C58" s="74">
        <v>1</v>
      </c>
      <c r="D58" s="82" t="s">
        <v>4430</v>
      </c>
      <c r="E58" s="74" t="s">
        <v>4521</v>
      </c>
      <c r="F58" s="74">
        <f>HLOOKUP(Stats!$B$2,HW!$H$163:$BT$167,5,FALSE)*Taulukko2[[#This Row],[Weight]]</f>
        <v>1</v>
      </c>
    </row>
    <row r="59" spans="1:6" x14ac:dyDescent="0.2">
      <c r="A59" s="74" t="s">
        <v>4380</v>
      </c>
      <c r="B59" s="74">
        <v>1</v>
      </c>
      <c r="C59" s="74">
        <v>1.5</v>
      </c>
      <c r="D59" s="82" t="s">
        <v>4430</v>
      </c>
      <c r="E59" s="74" t="s">
        <v>4522</v>
      </c>
      <c r="F59" s="74">
        <f>HLOOKUP(Stats!$B$2,HW!$H$163:$BT$167,5,FALSE)*Taulukko2[[#This Row],[Weight]]</f>
        <v>1.5</v>
      </c>
    </row>
    <row r="60" spans="1:6" x14ac:dyDescent="0.2">
      <c r="A60" s="74" t="s">
        <v>4381</v>
      </c>
      <c r="B60" s="74">
        <v>1</v>
      </c>
      <c r="C60" s="74">
        <v>1</v>
      </c>
      <c r="D60" s="82" t="s">
        <v>4430</v>
      </c>
      <c r="E60" s="74" t="s">
        <v>4523</v>
      </c>
      <c r="F60" s="74">
        <f>HLOOKUP(Stats!$B$2,HW!$H$163:$BT$167,5,FALSE)*Taulukko2[[#This Row],[Weight]]</f>
        <v>1</v>
      </c>
    </row>
    <row r="61" spans="1:6" x14ac:dyDescent="0.2">
      <c r="A61" s="74" t="s">
        <v>4382</v>
      </c>
      <c r="B61" s="74">
        <v>1</v>
      </c>
      <c r="C61" s="74">
        <v>3.5</v>
      </c>
      <c r="D61" s="82" t="s">
        <v>4430</v>
      </c>
      <c r="E61" s="74" t="s">
        <v>4524</v>
      </c>
      <c r="F61" s="74">
        <f>HLOOKUP(Stats!$B$2,HW!$H$163:$BT$167,5,FALSE)*Taulukko2[[#This Row],[Weight]]</f>
        <v>3.5</v>
      </c>
    </row>
    <row r="62" spans="1:6" x14ac:dyDescent="0.2">
      <c r="A62" s="74" t="s">
        <v>4383</v>
      </c>
      <c r="B62" s="74">
        <v>1</v>
      </c>
      <c r="C62" s="74">
        <v>1</v>
      </c>
      <c r="D62" s="82" t="s">
        <v>4430</v>
      </c>
      <c r="E62" s="74" t="s">
        <v>4525</v>
      </c>
      <c r="F62" s="74">
        <f>Taulukko2[[#This Row],[Weight]]</f>
        <v>1</v>
      </c>
    </row>
    <row r="63" spans="1:6" x14ac:dyDescent="0.2">
      <c r="A63" s="74" t="s">
        <v>4384</v>
      </c>
      <c r="B63" s="74">
        <v>1</v>
      </c>
      <c r="C63" s="74">
        <v>1.5</v>
      </c>
      <c r="D63" s="82" t="s">
        <v>4430</v>
      </c>
      <c r="E63" s="74" t="s">
        <v>4526</v>
      </c>
      <c r="F63" s="74">
        <f>HLOOKUP(Stats!$B$2,HW!$H$163:$BT$167,5,FALSE)*Taulukko2[[#This Row],[Weight]]</f>
        <v>1.5</v>
      </c>
    </row>
    <row r="64" spans="1:6" x14ac:dyDescent="0.2">
      <c r="A64" s="74" t="s">
        <v>4385</v>
      </c>
      <c r="B64" s="74">
        <v>1</v>
      </c>
      <c r="C64" s="74">
        <v>4</v>
      </c>
      <c r="D64" s="82" t="s">
        <v>4430</v>
      </c>
      <c r="E64" s="74" t="s">
        <v>4527</v>
      </c>
      <c r="F64" s="74">
        <f>Taulukko2[[#This Row],[Weight]]</f>
        <v>4</v>
      </c>
    </row>
    <row r="65" spans="1:6" x14ac:dyDescent="0.2">
      <c r="A65" s="74" t="s">
        <v>4386</v>
      </c>
      <c r="B65" s="74">
        <v>1</v>
      </c>
      <c r="C65" s="74">
        <v>9</v>
      </c>
      <c r="D65" s="82" t="s">
        <v>4430</v>
      </c>
      <c r="E65" s="74" t="s">
        <v>4528</v>
      </c>
      <c r="F65" s="74">
        <f>HLOOKUP(Stats!$B$2,HW!$H$163:$BT$167,5,FALSE)*Taulukko2[[#This Row],[Weight]]</f>
        <v>9</v>
      </c>
    </row>
    <row r="66" spans="1:6" x14ac:dyDescent="0.2">
      <c r="A66" s="74" t="s">
        <v>4387</v>
      </c>
      <c r="B66" s="74">
        <v>1</v>
      </c>
      <c r="C66" s="74">
        <v>0.25</v>
      </c>
      <c r="D66" s="82" t="s">
        <v>4430</v>
      </c>
      <c r="E66" s="74" t="s">
        <v>4529</v>
      </c>
      <c r="F66" s="74">
        <f>Taulukko2[[#This Row],[Weight]]</f>
        <v>0.25</v>
      </c>
    </row>
    <row r="67" spans="1:6" x14ac:dyDescent="0.2">
      <c r="A67" s="74" t="s">
        <v>4388</v>
      </c>
      <c r="B67" s="74">
        <v>1</v>
      </c>
      <c r="C67" s="74">
        <v>1</v>
      </c>
      <c r="D67" s="82" t="s">
        <v>4430</v>
      </c>
      <c r="E67" s="74" t="s">
        <v>4530</v>
      </c>
      <c r="F67" s="74">
        <f>Taulukko2[[#This Row],[Weight]]</f>
        <v>1</v>
      </c>
    </row>
    <row r="68" spans="1:6" x14ac:dyDescent="0.2">
      <c r="A68" s="74" t="s">
        <v>4389</v>
      </c>
      <c r="B68" s="74">
        <v>1</v>
      </c>
      <c r="C68" s="74">
        <v>0.25</v>
      </c>
      <c r="D68" s="82" t="s">
        <v>4430</v>
      </c>
      <c r="E68" s="74" t="s">
        <v>4531</v>
      </c>
      <c r="F68" s="74">
        <f>Taulukko2[[#This Row],[Weight]]</f>
        <v>0.25</v>
      </c>
    </row>
    <row r="69" spans="1:6" x14ac:dyDescent="0.2">
      <c r="A69" s="74" t="s">
        <v>4390</v>
      </c>
      <c r="B69" s="74">
        <v>1</v>
      </c>
      <c r="C69" s="74">
        <v>0.25</v>
      </c>
      <c r="D69" s="82" t="s">
        <v>4430</v>
      </c>
      <c r="E69" s="74" t="s">
        <v>4532</v>
      </c>
      <c r="F69" s="74">
        <f>Taulukko2[[#This Row],[Weight]]</f>
        <v>0.25</v>
      </c>
    </row>
    <row r="70" spans="1:6" x14ac:dyDescent="0.2">
      <c r="A70" s="74" t="s">
        <v>4391</v>
      </c>
      <c r="B70" s="74">
        <v>1</v>
      </c>
      <c r="C70" s="74">
        <v>1</v>
      </c>
      <c r="D70" s="82" t="s">
        <v>4430</v>
      </c>
      <c r="E70" s="74" t="s">
        <v>4533</v>
      </c>
      <c r="F70" s="74">
        <f>HLOOKUP(Stats!$B$2,HW!$H$163:$BT$167,5,FALSE)*Taulukko2[[#This Row],[Weight]]</f>
        <v>1</v>
      </c>
    </row>
    <row r="71" spans="1:6" x14ac:dyDescent="0.2">
      <c r="A71" s="74" t="s">
        <v>4392</v>
      </c>
      <c r="B71" s="74">
        <v>1</v>
      </c>
      <c r="C71" s="74">
        <v>1</v>
      </c>
      <c r="D71" s="82" t="s">
        <v>4430</v>
      </c>
      <c r="E71" s="74" t="s">
        <v>4534</v>
      </c>
      <c r="F71" s="74">
        <f>Taulukko2[[#This Row],[Weight]]</f>
        <v>1</v>
      </c>
    </row>
    <row r="72" spans="1:6" x14ac:dyDescent="0.2">
      <c r="A72" s="74" t="s">
        <v>4393</v>
      </c>
      <c r="B72" s="74">
        <v>1</v>
      </c>
      <c r="C72" s="74">
        <v>3</v>
      </c>
      <c r="D72" s="82" t="s">
        <v>4430</v>
      </c>
      <c r="E72" s="74" t="s">
        <v>4535</v>
      </c>
      <c r="F72" s="74">
        <f>Taulukko2[[#This Row],[Weight]]</f>
        <v>3</v>
      </c>
    </row>
    <row r="73" spans="1:6" x14ac:dyDescent="0.2">
      <c r="A73" s="74" t="s">
        <v>4394</v>
      </c>
      <c r="B73" s="74">
        <v>10</v>
      </c>
      <c r="C73" s="74">
        <f>3/Taulukko2[[#This Row],['#]]</f>
        <v>0.3</v>
      </c>
      <c r="D73" s="82" t="s">
        <v>4430</v>
      </c>
      <c r="E73" s="74" t="s">
        <v>4536</v>
      </c>
      <c r="F73" s="74">
        <f>Taulukko2[[#This Row],[Weight]]</f>
        <v>0.3</v>
      </c>
    </row>
    <row r="74" spans="1:6" x14ac:dyDescent="0.2">
      <c r="A74" s="74" t="s">
        <v>4395</v>
      </c>
      <c r="B74" s="74">
        <v>1</v>
      </c>
      <c r="C74" s="74">
        <v>0.5</v>
      </c>
      <c r="D74" s="82" t="s">
        <v>4430</v>
      </c>
      <c r="E74" s="74" t="s">
        <v>4537</v>
      </c>
      <c r="F74" s="74">
        <f>HLOOKUP(Stats!$B$2,HW!$H$163:$BT$167,5,FALSE)*Taulukko2[[#This Row],[Weight]]</f>
        <v>0.5</v>
      </c>
    </row>
    <row r="75" spans="1:6" x14ac:dyDescent="0.2">
      <c r="D75" s="82"/>
      <c r="F75" s="74">
        <f>HLOOKUP(Stats!$B$2,HW!$H$163:$BT$167,5,FALSE)*Taulukko2[[#This Row],[Weight]]</f>
        <v>0</v>
      </c>
    </row>
    <row r="76" spans="1:6" x14ac:dyDescent="0.2">
      <c r="A76" s="74" t="s">
        <v>4928</v>
      </c>
      <c r="B76" s="74">
        <v>1</v>
      </c>
      <c r="C76" s="74">
        <v>2</v>
      </c>
      <c r="D76" s="82" t="s">
        <v>4430</v>
      </c>
      <c r="E76" s="74" t="s">
        <v>4927</v>
      </c>
      <c r="F76" s="74">
        <f>Taulukko2[[#This Row],[Weight]]</f>
        <v>2</v>
      </c>
    </row>
    <row r="77" spans="1:6" x14ac:dyDescent="0.2">
      <c r="A77" s="74" t="s">
        <v>4929</v>
      </c>
      <c r="B77" s="74">
        <v>1</v>
      </c>
      <c r="C77" s="74">
        <v>0.55000000000000004</v>
      </c>
      <c r="D77" s="82" t="s">
        <v>4430</v>
      </c>
      <c r="E77" s="74" t="s">
        <v>4932</v>
      </c>
      <c r="F77" s="74">
        <f>Taulukko2[[#This Row],[Weight]]</f>
        <v>0.55000000000000004</v>
      </c>
    </row>
    <row r="78" spans="1:6" x14ac:dyDescent="0.2">
      <c r="A78" s="74" t="s">
        <v>4930</v>
      </c>
      <c r="B78" s="74">
        <v>1</v>
      </c>
      <c r="C78" s="74">
        <v>0.13333329999999999</v>
      </c>
      <c r="D78" s="82" t="s">
        <v>4430</v>
      </c>
      <c r="E78" s="74" t="s">
        <v>4931</v>
      </c>
      <c r="F78" s="74">
        <f>Taulukko2[[#This Row],[Weight]]</f>
        <v>0.13333329999999999</v>
      </c>
    </row>
    <row r="79" spans="1:6" x14ac:dyDescent="0.2">
      <c r="D79" s="82"/>
      <c r="F79" s="74">
        <f>HLOOKUP(Stats!$B$2,HW!$H$163:$BT$167,5,FALSE)*Taulukko2[[#This Row],[Weight]]</f>
        <v>0</v>
      </c>
    </row>
    <row r="80" spans="1:6" x14ac:dyDescent="0.2">
      <c r="A80" s="74" t="s">
        <v>1215</v>
      </c>
      <c r="B80" s="74">
        <v>1</v>
      </c>
      <c r="C80" s="74">
        <v>9.5</v>
      </c>
      <c r="D80" s="74">
        <v>5</v>
      </c>
      <c r="E80" s="74" t="s">
        <v>4538</v>
      </c>
      <c r="F80" s="74">
        <f>HLOOKUP(Stats!$B$2,HW!$H$163:$BT$167,5,FALSE)*Taulukko2[[#This Row],[Weight]]</f>
        <v>9.5</v>
      </c>
    </row>
    <row r="81" spans="1:6" x14ac:dyDescent="0.2">
      <c r="A81" s="74" t="s">
        <v>4396</v>
      </c>
      <c r="B81" s="74">
        <v>1</v>
      </c>
      <c r="C81" s="74">
        <v>2.5</v>
      </c>
      <c r="D81" s="82" t="s">
        <v>4430</v>
      </c>
      <c r="E81" s="74" t="s">
        <v>4539</v>
      </c>
      <c r="F81" s="74">
        <f>HLOOKUP(Stats!$B$2,HW!$H$163:$BT$167,5,FALSE)*Taulukko2[[#This Row],[Weight]]</f>
        <v>2.5</v>
      </c>
    </row>
    <row r="82" spans="1:6" x14ac:dyDescent="0.2">
      <c r="A82" s="74" t="s">
        <v>4397</v>
      </c>
      <c r="B82" s="74">
        <v>1</v>
      </c>
      <c r="C82" s="74">
        <v>3.5</v>
      </c>
      <c r="D82" s="82" t="s">
        <v>4430</v>
      </c>
      <c r="E82" s="74" t="s">
        <v>4540</v>
      </c>
      <c r="F82" s="74">
        <f>HLOOKUP(Stats!$B$2,HW!$H$163:$BT$167,5,FALSE)*Taulukko2[[#This Row],[Weight]]</f>
        <v>3.5</v>
      </c>
    </row>
    <row r="83" spans="1:6" x14ac:dyDescent="0.2">
      <c r="A83" s="74" t="s">
        <v>1227</v>
      </c>
      <c r="B83" s="74">
        <v>1</v>
      </c>
      <c r="C83" s="74">
        <v>17</v>
      </c>
      <c r="D83" s="74">
        <v>6</v>
      </c>
      <c r="E83" s="74" t="s">
        <v>4541</v>
      </c>
      <c r="F83" s="74">
        <f>HLOOKUP(Stats!$B$2,HW!$H$163:$BT$167,5,FALSE)*Taulukko2[[#This Row],[Weight]]</f>
        <v>17</v>
      </c>
    </row>
    <row r="84" spans="1:6" x14ac:dyDescent="0.2">
      <c r="A84" s="74" t="s">
        <v>4398</v>
      </c>
      <c r="B84" s="74">
        <v>1</v>
      </c>
      <c r="C84" s="74">
        <v>21</v>
      </c>
      <c r="D84" s="74">
        <v>7</v>
      </c>
      <c r="E84" s="74" t="s">
        <v>4541</v>
      </c>
      <c r="F84" s="74">
        <f>HLOOKUP(Stats!$B$2,HW!$H$163:$BT$167,5,FALSE)*Taulukko2[[#This Row],[Weight]]</f>
        <v>21</v>
      </c>
    </row>
    <row r="85" spans="1:6" x14ac:dyDescent="0.2">
      <c r="A85" s="74" t="s">
        <v>4399</v>
      </c>
      <c r="B85" s="74">
        <v>1</v>
      </c>
      <c r="C85" s="74">
        <v>25.5</v>
      </c>
      <c r="D85" s="74">
        <v>8</v>
      </c>
      <c r="E85" s="74" t="s">
        <v>4542</v>
      </c>
      <c r="F85" s="74">
        <f>HLOOKUP(Stats!$B$2,HW!$H$163:$BT$167,5,FALSE)*Taulukko2[[#This Row],[Weight]]</f>
        <v>25.5</v>
      </c>
    </row>
    <row r="86" spans="1:6" x14ac:dyDescent="0.2">
      <c r="A86" s="74" t="s">
        <v>1252</v>
      </c>
      <c r="B86" s="74">
        <v>1</v>
      </c>
      <c r="C86" s="74">
        <v>14</v>
      </c>
      <c r="D86" s="74">
        <v>9</v>
      </c>
      <c r="E86" s="74" t="s">
        <v>4543</v>
      </c>
      <c r="F86" s="74">
        <f>HLOOKUP(Stats!$B$2,HW!$H$163:$BT$167,5,FALSE)*Taulukko2[[#This Row],[Weight]]</f>
        <v>14</v>
      </c>
    </row>
    <row r="87" spans="1:6" x14ac:dyDescent="0.2">
      <c r="A87" s="74" t="s">
        <v>1271</v>
      </c>
      <c r="B87" s="74">
        <v>1</v>
      </c>
      <c r="C87" s="74">
        <v>20</v>
      </c>
      <c r="D87" s="74">
        <v>13</v>
      </c>
      <c r="E87" s="74" t="s">
        <v>4544</v>
      </c>
      <c r="F87" s="74">
        <f>HLOOKUP(Stats!$B$2,HW!$H$163:$BT$167,5,FALSE)*Taulukko2[[#This Row],[Weight]]</f>
        <v>20</v>
      </c>
    </row>
    <row r="88" spans="1:6" x14ac:dyDescent="0.2">
      <c r="A88" s="74" t="s">
        <v>1278</v>
      </c>
      <c r="B88" s="74">
        <v>1</v>
      </c>
      <c r="C88" s="74">
        <v>42.5</v>
      </c>
      <c r="D88" s="74">
        <v>15</v>
      </c>
      <c r="E88" s="74" t="s">
        <v>4545</v>
      </c>
      <c r="F88" s="74">
        <f>HLOOKUP(Stats!$B$2,HW!$H$163:$BT$167,5,FALSE)*Taulukko2[[#This Row],[Weight]]</f>
        <v>42.5</v>
      </c>
    </row>
    <row r="89" spans="1:6" x14ac:dyDescent="0.2">
      <c r="A89" s="74" t="s">
        <v>1287</v>
      </c>
      <c r="B89" s="74">
        <v>1</v>
      </c>
      <c r="C89" s="74">
        <v>37.5</v>
      </c>
      <c r="D89" s="74">
        <v>16</v>
      </c>
      <c r="E89" s="74" t="s">
        <v>4546</v>
      </c>
      <c r="F89" s="74">
        <f>HLOOKUP(Stats!$B$2,HW!$H$163:$BT$167,5,FALSE)*Taulukko2[[#This Row],[Weight]]</f>
        <v>37.5</v>
      </c>
    </row>
    <row r="90" spans="1:6" x14ac:dyDescent="0.2">
      <c r="A90" s="74" t="s">
        <v>4400</v>
      </c>
      <c r="B90" s="74">
        <v>1</v>
      </c>
      <c r="C90" s="74">
        <v>25</v>
      </c>
      <c r="D90" s="74">
        <v>17</v>
      </c>
      <c r="E90" s="74" t="s">
        <v>4547</v>
      </c>
      <c r="F90" s="74">
        <f>HLOOKUP(Stats!$B$2,HW!$H$163:$BT$167,5,FALSE)*Taulukko2[[#This Row],[Weight]]</f>
        <v>25</v>
      </c>
    </row>
    <row r="91" spans="1:6" x14ac:dyDescent="0.2">
      <c r="A91" s="74" t="s">
        <v>1297</v>
      </c>
      <c r="B91" s="74">
        <v>1</v>
      </c>
      <c r="C91" s="74">
        <v>60</v>
      </c>
      <c r="D91" s="74">
        <v>19</v>
      </c>
      <c r="E91" s="74" t="s">
        <v>4548</v>
      </c>
      <c r="F91" s="74">
        <f>HLOOKUP(Stats!$B$2,HW!$H$163:$BT$167,5,FALSE)*Taulukko2[[#This Row],[Weight]]</f>
        <v>60</v>
      </c>
    </row>
    <row r="92" spans="1:6" x14ac:dyDescent="0.2">
      <c r="A92" s="74" t="s">
        <v>1301</v>
      </c>
      <c r="B92" s="74">
        <v>1</v>
      </c>
      <c r="C92" s="74">
        <v>77.5</v>
      </c>
      <c r="D92" s="74">
        <v>20</v>
      </c>
      <c r="E92" s="74" t="s">
        <v>4549</v>
      </c>
      <c r="F92" s="74">
        <f>HLOOKUP(Stats!$B$2,HW!$H$163:$BT$167,5,FALSE)*Taulukko2[[#This Row],[Weight]]</f>
        <v>77.5</v>
      </c>
    </row>
    <row r="93" spans="1:6" x14ac:dyDescent="0.2">
      <c r="A93" s="74" t="s">
        <v>4401</v>
      </c>
      <c r="B93" s="74">
        <v>1</v>
      </c>
      <c r="C93" s="74">
        <v>6.5</v>
      </c>
      <c r="D93" s="82" t="s">
        <v>4430</v>
      </c>
      <c r="E93" s="74" t="s">
        <v>4550</v>
      </c>
      <c r="F93" s="74">
        <f>HLOOKUP(Stats!$B$2,HW!$H$163:$BT$167,5,FALSE)*Taulukko2[[#This Row],[Weight]]</f>
        <v>6.5</v>
      </c>
    </row>
    <row r="94" spans="1:6" x14ac:dyDescent="0.2">
      <c r="A94" s="74" t="s">
        <v>4402</v>
      </c>
      <c r="B94" s="74">
        <v>1</v>
      </c>
      <c r="C94" s="74">
        <v>15</v>
      </c>
      <c r="D94" s="82" t="s">
        <v>4430</v>
      </c>
      <c r="E94" s="74" t="s">
        <v>4551</v>
      </c>
      <c r="F94" s="74">
        <f>HLOOKUP(Stats!$B$2,HW!$H$163:$BT$167,5,FALSE)*Taulukko2[[#This Row],[Weight]]</f>
        <v>15</v>
      </c>
    </row>
    <row r="95" spans="1:6" x14ac:dyDescent="0.2">
      <c r="A95" s="74" t="s">
        <v>4403</v>
      </c>
      <c r="B95" s="74">
        <v>1</v>
      </c>
      <c r="C95" s="74">
        <v>22.5</v>
      </c>
      <c r="D95" s="82" t="s">
        <v>4430</v>
      </c>
      <c r="E95" s="74" t="s">
        <v>4552</v>
      </c>
      <c r="F95" s="74">
        <f>HLOOKUP(Stats!$B$2,HW!$H$163:$BT$167,5,FALSE)*Taulukko2[[#This Row],[Weight]]</f>
        <v>22.5</v>
      </c>
    </row>
    <row r="96" spans="1:6" x14ac:dyDescent="0.2">
      <c r="A96" s="74" t="s">
        <v>4404</v>
      </c>
      <c r="B96" s="74">
        <v>1</v>
      </c>
      <c r="C96" s="74">
        <v>40</v>
      </c>
      <c r="D96" s="82" t="s">
        <v>4430</v>
      </c>
      <c r="E96" s="74" t="s">
        <v>4553</v>
      </c>
      <c r="F96" s="74">
        <f>HLOOKUP(Stats!$B$2,HW!$H$163:$BT$167,5,FALSE)*Taulukko2[[#This Row],[Weight]]</f>
        <v>40</v>
      </c>
    </row>
    <row r="97" spans="1:6" x14ac:dyDescent="0.2">
      <c r="A97" s="74" t="s">
        <v>4405</v>
      </c>
      <c r="B97" s="74">
        <v>1</v>
      </c>
      <c r="C97" s="74">
        <v>1.5</v>
      </c>
      <c r="D97" s="82" t="s">
        <v>4430</v>
      </c>
      <c r="E97" s="74" t="s">
        <v>4554</v>
      </c>
      <c r="F97" s="74">
        <f>HLOOKUP(Stats!$B$2,HW!$H$163:$BT$167,5,FALSE)*Taulukko2[[#This Row],[Weight]]</f>
        <v>1.5</v>
      </c>
    </row>
    <row r="98" spans="1:6" x14ac:dyDescent="0.2">
      <c r="A98" s="74" t="s">
        <v>4406</v>
      </c>
      <c r="B98" s="74">
        <v>1</v>
      </c>
      <c r="C98" s="74">
        <v>2</v>
      </c>
      <c r="D98" s="82" t="s">
        <v>4430</v>
      </c>
      <c r="E98" s="74" t="s">
        <v>4555</v>
      </c>
      <c r="F98" s="74">
        <f>HLOOKUP(Stats!$B$2,HW!$H$163:$BT$167,5,FALSE)*Taulukko2[[#This Row],[Weight]]</f>
        <v>2</v>
      </c>
    </row>
    <row r="99" spans="1:6" x14ac:dyDescent="0.2">
      <c r="A99" s="74" t="s">
        <v>4407</v>
      </c>
      <c r="B99" s="74">
        <v>1</v>
      </c>
      <c r="C99" s="74">
        <v>2.25</v>
      </c>
      <c r="D99" s="82" t="s">
        <v>4430</v>
      </c>
      <c r="E99" s="74" t="s">
        <v>4556</v>
      </c>
      <c r="F99" s="74">
        <f>HLOOKUP(Stats!$B$2,HW!$H$163:$BT$167,5,FALSE)*Taulukko2[[#This Row],[Weight]]</f>
        <v>2.25</v>
      </c>
    </row>
    <row r="100" spans="1:6" x14ac:dyDescent="0.2">
      <c r="A100" s="74" t="s">
        <v>4408</v>
      </c>
      <c r="B100" s="74">
        <v>1</v>
      </c>
      <c r="C100" s="74">
        <v>2.25</v>
      </c>
      <c r="D100" s="82" t="s">
        <v>4430</v>
      </c>
      <c r="E100" s="74" t="s">
        <v>4557</v>
      </c>
      <c r="F100" s="74">
        <f>HLOOKUP(Stats!$B$2,HW!$H$163:$BT$167,5,FALSE)*Taulukko2[[#This Row],[Weight]]</f>
        <v>2.25</v>
      </c>
    </row>
    <row r="101" spans="1:6" x14ac:dyDescent="0.2">
      <c r="A101" s="74" t="s">
        <v>4409</v>
      </c>
      <c r="B101" s="74">
        <v>1</v>
      </c>
      <c r="C101" s="74">
        <v>3.75</v>
      </c>
      <c r="D101" s="82" t="s">
        <v>4430</v>
      </c>
      <c r="E101" s="74" t="s">
        <v>4558</v>
      </c>
      <c r="F101" s="74">
        <f>HLOOKUP(Stats!$B$2,HW!$H$163:$BT$167,5,FALSE)*Taulukko2[[#This Row],[Weight]]</f>
        <v>3.75</v>
      </c>
    </row>
    <row r="102" spans="1:6" x14ac:dyDescent="0.2">
      <c r="A102" s="74" t="s">
        <v>4410</v>
      </c>
      <c r="B102" s="74">
        <v>1</v>
      </c>
      <c r="C102" s="74">
        <v>3.5</v>
      </c>
      <c r="D102" s="82" t="s">
        <v>4430</v>
      </c>
      <c r="E102" s="74" t="s">
        <v>4559</v>
      </c>
      <c r="F102" s="74">
        <f>HLOOKUP(Stats!$B$2,HW!$H$163:$BT$167,5,FALSE)*Taulukko2[[#This Row],[Weight]]</f>
        <v>3.5</v>
      </c>
    </row>
    <row r="103" spans="1:6" x14ac:dyDescent="0.2">
      <c r="A103" s="74" t="s">
        <v>4411</v>
      </c>
      <c r="B103" s="74">
        <v>1</v>
      </c>
      <c r="C103" s="74">
        <v>1</v>
      </c>
      <c r="D103" s="82" t="s">
        <v>4430</v>
      </c>
      <c r="E103" s="74" t="s">
        <v>4560</v>
      </c>
      <c r="F103" s="74">
        <f>HLOOKUP(Stats!$B$2,HW!$H$163:$BT$167,5,FALSE)*Taulukko2[[#This Row],[Weight]]</f>
        <v>1</v>
      </c>
    </row>
    <row r="104" spans="1:6" x14ac:dyDescent="0.2">
      <c r="A104" s="74" t="s">
        <v>4412</v>
      </c>
      <c r="B104" s="74">
        <v>1</v>
      </c>
      <c r="C104" s="74">
        <v>100</v>
      </c>
      <c r="D104" s="74">
        <v>7</v>
      </c>
      <c r="E104" s="74" t="s">
        <v>4561</v>
      </c>
      <c r="F104" s="74">
        <f>HLOOKUP(Stats!$B$2,HW!$H$163:$BT$167,5,FALSE)*Taulukko2[[#This Row],[Weight]]</f>
        <v>100</v>
      </c>
    </row>
    <row r="105" spans="1:6" x14ac:dyDescent="0.2">
      <c r="A105" s="74" t="s">
        <v>4413</v>
      </c>
      <c r="B105" s="74">
        <v>1</v>
      </c>
      <c r="C105" s="74">
        <v>160</v>
      </c>
      <c r="D105" s="74">
        <v>16</v>
      </c>
      <c r="E105" s="74" t="s">
        <v>4562</v>
      </c>
      <c r="F105" s="74">
        <f>HLOOKUP(Stats!$B$2,HW!$H$163:$BT$167,5,FALSE)*Taulukko2[[#This Row],[Weight]]</f>
        <v>160</v>
      </c>
    </row>
    <row r="106" spans="1:6" x14ac:dyDescent="0.2">
      <c r="A106" s="74" t="s">
        <v>4414</v>
      </c>
      <c r="B106" s="74">
        <v>1</v>
      </c>
      <c r="C106" s="74">
        <v>190</v>
      </c>
      <c r="D106" s="74">
        <v>19</v>
      </c>
      <c r="E106" s="74" t="s">
        <v>4563</v>
      </c>
      <c r="F106" s="74">
        <f>HLOOKUP(Stats!$B$2,HW!$H$163:$BT$167,5,FALSE)*Taulukko2[[#This Row],[Weight]]</f>
        <v>190</v>
      </c>
    </row>
    <row r="107" spans="1:6" x14ac:dyDescent="0.2">
      <c r="A107" s="74" t="s">
        <v>4415</v>
      </c>
      <c r="B107" s="74">
        <v>1</v>
      </c>
      <c r="C107" s="74">
        <v>15</v>
      </c>
      <c r="D107" s="82" t="s">
        <v>4430</v>
      </c>
      <c r="E107" s="74" t="s">
        <v>4564</v>
      </c>
      <c r="F107" s="74">
        <f>HLOOKUP(Stats!$B$2,HW!$H$163:$BT$167,5,FALSE)*Taulukko2[[#This Row],[Weight]]</f>
        <v>15</v>
      </c>
    </row>
    <row r="108" spans="1:6" x14ac:dyDescent="0.2">
      <c r="A108" s="74" t="s">
        <v>4416</v>
      </c>
      <c r="B108" s="74">
        <v>1</v>
      </c>
      <c r="C108" s="74">
        <v>25</v>
      </c>
      <c r="D108" s="82" t="s">
        <v>4430</v>
      </c>
      <c r="E108" s="74" t="s">
        <v>4564</v>
      </c>
      <c r="F108" s="74">
        <f>HLOOKUP(Stats!$B$2,HW!$H$163:$BT$167,5,FALSE)*Taulukko2[[#This Row],[Weight]]</f>
        <v>25</v>
      </c>
    </row>
    <row r="109" spans="1:6" x14ac:dyDescent="0.2">
      <c r="A109" s="74" t="s">
        <v>4417</v>
      </c>
      <c r="B109" s="74">
        <v>1</v>
      </c>
      <c r="C109" s="74">
        <v>25</v>
      </c>
      <c r="D109" s="82" t="s">
        <v>4430</v>
      </c>
      <c r="E109" s="74" t="s">
        <v>4565</v>
      </c>
      <c r="F109" s="74">
        <f>HLOOKUP(Stats!$B$2,HW!$H$163:$BT$167,5,FALSE)*Taulukko2[[#This Row],[Weight]]</f>
        <v>25</v>
      </c>
    </row>
    <row r="110" spans="1:6" x14ac:dyDescent="0.2">
      <c r="A110" s="74" t="s">
        <v>4418</v>
      </c>
      <c r="B110" s="74">
        <v>1</v>
      </c>
      <c r="C110" s="74">
        <v>31</v>
      </c>
      <c r="D110" s="82" t="s">
        <v>4430</v>
      </c>
      <c r="E110" s="74" t="s">
        <v>4565</v>
      </c>
      <c r="F110" s="74">
        <f>HLOOKUP(Stats!$B$2,HW!$H$163:$BT$167,5,FALSE)*Taulukko2[[#This Row],[Weight]]</f>
        <v>31</v>
      </c>
    </row>
    <row r="111" spans="1:6" x14ac:dyDescent="0.2">
      <c r="A111" s="74" t="s">
        <v>4419</v>
      </c>
      <c r="B111" s="74">
        <v>1</v>
      </c>
      <c r="C111" s="74">
        <v>18</v>
      </c>
      <c r="D111" s="82" t="s">
        <v>4430</v>
      </c>
      <c r="E111" s="74" t="s">
        <v>4565</v>
      </c>
      <c r="F111" s="74">
        <f>HLOOKUP(Stats!$B$2,HW!$H$163:$BT$167,5,FALSE)*Taulukko2[[#This Row],[Weight]]</f>
        <v>18</v>
      </c>
    </row>
    <row r="112" spans="1:6" x14ac:dyDescent="0.2">
      <c r="A112" s="74" t="s">
        <v>4420</v>
      </c>
      <c r="B112" s="74">
        <v>1</v>
      </c>
      <c r="C112" s="74">
        <v>0.5</v>
      </c>
      <c r="D112" s="82" t="s">
        <v>4430</v>
      </c>
      <c r="E112" s="74" t="s">
        <v>4566</v>
      </c>
      <c r="F112" s="74">
        <f>HLOOKUP(Stats!$B$2,HW!$H$163:$BT$167,5,FALSE)*Taulukko2[[#This Row],[Weight]]</f>
        <v>0.5</v>
      </c>
    </row>
    <row r="113" spans="1:6" x14ac:dyDescent="0.2">
      <c r="A113" s="74" t="s">
        <v>4421</v>
      </c>
      <c r="B113" s="74">
        <v>1</v>
      </c>
      <c r="C113" s="74">
        <v>0.75</v>
      </c>
      <c r="D113" s="82" t="s">
        <v>4430</v>
      </c>
      <c r="E113" s="74" t="s">
        <v>4567</v>
      </c>
      <c r="F113" s="74">
        <f>HLOOKUP(Stats!$B$2,HW!$H$163:$BT$167,5,FALSE)*Taulukko2[[#This Row],[Weight]]</f>
        <v>0.75</v>
      </c>
    </row>
    <row r="114" spans="1:6" x14ac:dyDescent="0.2">
      <c r="A114" s="74" t="s">
        <v>4422</v>
      </c>
      <c r="B114" s="74">
        <v>1</v>
      </c>
      <c r="C114" s="74">
        <v>0.5</v>
      </c>
      <c r="D114" s="82" t="s">
        <v>4430</v>
      </c>
      <c r="E114" s="74" t="s">
        <v>4568</v>
      </c>
      <c r="F114" s="74">
        <f>HLOOKUP(Stats!$B$2,HW!$H$163:$BT$167,5,FALSE)*Taulukko2[[#This Row],[Weight]]</f>
        <v>0.5</v>
      </c>
    </row>
    <row r="115" spans="1:6" x14ac:dyDescent="0.2">
      <c r="F115" s="74">
        <f>HLOOKUP(Stats!$B$2,HW!$H$163:$BT$167,5,FALSE)*Taulukko2[[#This Row],[Weight]]</f>
        <v>0</v>
      </c>
    </row>
    <row r="116" spans="1:6" x14ac:dyDescent="0.2">
      <c r="A116" s="74" t="s">
        <v>4435</v>
      </c>
      <c r="B116" s="74">
        <v>1</v>
      </c>
      <c r="C116" s="74">
        <v>5</v>
      </c>
      <c r="D116" s="83" t="s">
        <v>4456</v>
      </c>
      <c r="E116" s="74" t="s">
        <v>4569</v>
      </c>
      <c r="F116" s="74">
        <f>HLOOKUP(Stats!$B$2,HW!$H$163:$BT$167,5,FALSE)*Taulukko2[[#This Row],[Weight]]</f>
        <v>5</v>
      </c>
    </row>
    <row r="117" spans="1:6" x14ac:dyDescent="0.2">
      <c r="A117" s="74" t="s">
        <v>1852</v>
      </c>
      <c r="B117" s="74">
        <v>1</v>
      </c>
      <c r="C117" s="74">
        <v>5</v>
      </c>
      <c r="D117" s="83" t="s">
        <v>4456</v>
      </c>
      <c r="E117" s="74" t="s">
        <v>4570</v>
      </c>
      <c r="F117" s="74">
        <f>HLOOKUP(Stats!$B$2,HW!$H$163:$BT$167,5,FALSE)*Taulukko2[[#This Row],[Weight]]</f>
        <v>5</v>
      </c>
    </row>
    <row r="118" spans="1:6" x14ac:dyDescent="0.2">
      <c r="A118" s="74" t="s">
        <v>1778</v>
      </c>
      <c r="B118" s="74">
        <v>1</v>
      </c>
      <c r="C118" s="74">
        <v>7</v>
      </c>
      <c r="D118" s="83" t="s">
        <v>4457</v>
      </c>
      <c r="E118" s="74" t="s">
        <v>4571</v>
      </c>
      <c r="F118" s="74">
        <f>HLOOKUP(Stats!$B$2,HW!$H$163:$BT$167,5,FALSE)*Taulukko2[[#This Row],[Weight]]</f>
        <v>7</v>
      </c>
    </row>
    <row r="119" spans="1:6" x14ac:dyDescent="0.2">
      <c r="A119" s="74" t="s">
        <v>1830</v>
      </c>
      <c r="B119" s="74">
        <v>1</v>
      </c>
      <c r="C119" s="74">
        <v>0.5</v>
      </c>
      <c r="D119" s="83" t="s">
        <v>4458</v>
      </c>
      <c r="E119" s="74" t="s">
        <v>4572</v>
      </c>
      <c r="F119" s="74">
        <f>HLOOKUP(Stats!$B$2,HW!$H$163:$BT$167,5,FALSE)*Taulukko2[[#This Row],[Weight]]</f>
        <v>0.5</v>
      </c>
    </row>
    <row r="120" spans="1:6" x14ac:dyDescent="0.2">
      <c r="A120" s="74" t="s">
        <v>4436</v>
      </c>
      <c r="B120" s="74">
        <v>1</v>
      </c>
      <c r="C120" s="74">
        <v>3</v>
      </c>
      <c r="D120" s="83" t="s">
        <v>4457</v>
      </c>
      <c r="E120" s="74" t="s">
        <v>4573</v>
      </c>
      <c r="F120" s="74">
        <f>HLOOKUP(Stats!$B$2,HW!$H$163:$BT$167,5,FALSE)*Taulukko2[[#This Row],[Weight]]</f>
        <v>3</v>
      </c>
    </row>
    <row r="121" spans="1:6" x14ac:dyDescent="0.2">
      <c r="A121" s="74" t="s">
        <v>1878</v>
      </c>
      <c r="B121" s="74">
        <v>1</v>
      </c>
      <c r="C121" s="74">
        <v>4.5</v>
      </c>
      <c r="D121" s="83" t="s">
        <v>4457</v>
      </c>
      <c r="E121" s="74" t="s">
        <v>4574</v>
      </c>
      <c r="F121" s="74">
        <f>HLOOKUP(Stats!$B$2,HW!$H$163:$BT$167,5,FALSE)*Taulukko2[[#This Row],[Weight]]</f>
        <v>4.5</v>
      </c>
    </row>
    <row r="122" spans="1:6" x14ac:dyDescent="0.2">
      <c r="A122" s="74" t="s">
        <v>1782</v>
      </c>
      <c r="B122" s="74">
        <v>1</v>
      </c>
      <c r="C122" s="74">
        <v>4</v>
      </c>
      <c r="D122" s="83" t="s">
        <v>4459</v>
      </c>
      <c r="E122" s="74" t="s">
        <v>4572</v>
      </c>
      <c r="F122" s="74">
        <f>HLOOKUP(Stats!$B$2,HW!$H$163:$BT$167,5,FALSE)*Taulukko2[[#This Row],[Weight]]</f>
        <v>4</v>
      </c>
    </row>
    <row r="123" spans="1:6" x14ac:dyDescent="0.2">
      <c r="A123" s="74" t="s">
        <v>1829</v>
      </c>
      <c r="B123" s="74">
        <v>1</v>
      </c>
      <c r="C123" s="74">
        <v>0.5</v>
      </c>
      <c r="D123" s="83" t="s">
        <v>4456</v>
      </c>
      <c r="E123" s="74" t="s">
        <v>4574</v>
      </c>
      <c r="F123" s="74">
        <f>HLOOKUP(Stats!$B$2,HW!$H$163:$BT$167,5,FALSE)*Taulukko2[[#This Row],[Weight]]</f>
        <v>0.5</v>
      </c>
    </row>
    <row r="124" spans="1:6" x14ac:dyDescent="0.2">
      <c r="A124" s="74" t="s">
        <v>1776</v>
      </c>
      <c r="B124" s="74">
        <v>1</v>
      </c>
      <c r="C124" s="74">
        <v>4</v>
      </c>
      <c r="D124" s="83" t="s">
        <v>4460</v>
      </c>
      <c r="E124" s="74" t="s">
        <v>4575</v>
      </c>
      <c r="F124" s="74">
        <f>HLOOKUP(Stats!$B$2,HW!$H$163:$BT$167,5,FALSE)*Taulukko2[[#This Row],[Weight]]</f>
        <v>4</v>
      </c>
    </row>
    <row r="125" spans="1:6" x14ac:dyDescent="0.2">
      <c r="A125" s="74" t="s">
        <v>4437</v>
      </c>
      <c r="B125" s="74">
        <v>1</v>
      </c>
      <c r="C125" s="74">
        <v>4</v>
      </c>
      <c r="D125" s="83" t="s">
        <v>4459</v>
      </c>
      <c r="E125" s="74" t="s">
        <v>4576</v>
      </c>
      <c r="F125" s="74">
        <f>HLOOKUP(Stats!$B$2,HW!$H$163:$BT$167,5,FALSE)*Taulukko2[[#This Row],[Weight]]</f>
        <v>4</v>
      </c>
    </row>
    <row r="126" spans="1:6" x14ac:dyDescent="0.2">
      <c r="A126" s="74" t="s">
        <v>4438</v>
      </c>
      <c r="B126" s="74">
        <v>1</v>
      </c>
      <c r="C126" s="74">
        <v>7.5</v>
      </c>
      <c r="D126" s="83" t="s">
        <v>4456</v>
      </c>
      <c r="E126" s="74" t="s">
        <v>4570</v>
      </c>
      <c r="F126" s="74">
        <f>HLOOKUP(Stats!$B$2,HW!$H$163:$BT$167,5,FALSE)*Taulukko2[[#This Row],[Weight]]</f>
        <v>7.5</v>
      </c>
    </row>
    <row r="127" spans="1:6" x14ac:dyDescent="0.2">
      <c r="A127" s="74" t="s">
        <v>1780</v>
      </c>
      <c r="B127" s="74">
        <v>1</v>
      </c>
      <c r="C127" s="74">
        <v>5</v>
      </c>
      <c r="D127" s="83" t="s">
        <v>4456</v>
      </c>
      <c r="E127" s="74" t="s">
        <v>4577</v>
      </c>
      <c r="F127" s="74">
        <f>HLOOKUP(Stats!$B$2,HW!$H$163:$BT$167,5,FALSE)*Taulukko2[[#This Row],[Weight]]</f>
        <v>5</v>
      </c>
    </row>
    <row r="128" spans="1:6" x14ac:dyDescent="0.2">
      <c r="A128" s="74" t="s">
        <v>1803</v>
      </c>
      <c r="B128" s="74">
        <v>1</v>
      </c>
      <c r="C128" s="74">
        <v>2.5</v>
      </c>
      <c r="D128" s="83" t="s">
        <v>4456</v>
      </c>
      <c r="E128" s="74" t="s">
        <v>4573</v>
      </c>
      <c r="F128" s="74">
        <f>HLOOKUP(Stats!$B$2,HW!$H$163:$BT$167,5,FALSE)*Taulukko2[[#This Row],[Weight]]</f>
        <v>2.5</v>
      </c>
    </row>
    <row r="129" spans="1:6" x14ac:dyDescent="0.2">
      <c r="A129" s="74" t="s">
        <v>4439</v>
      </c>
      <c r="B129" s="74">
        <v>1</v>
      </c>
      <c r="C129" s="74">
        <v>10</v>
      </c>
      <c r="D129" s="83" t="s">
        <v>4457</v>
      </c>
      <c r="E129" s="74" t="s">
        <v>4573</v>
      </c>
      <c r="F129" s="74">
        <f>HLOOKUP(Stats!$B$2,HW!$H$163:$BT$167,5,FALSE)*Taulukko2[[#This Row],[Weight]]</f>
        <v>10</v>
      </c>
    </row>
    <row r="130" spans="1:6" x14ac:dyDescent="0.2">
      <c r="A130" s="74" t="s">
        <v>4440</v>
      </c>
      <c r="B130" s="74">
        <v>1</v>
      </c>
      <c r="C130" s="74">
        <v>6</v>
      </c>
      <c r="D130" s="83" t="s">
        <v>4457</v>
      </c>
      <c r="E130" s="74" t="s">
        <v>4573</v>
      </c>
      <c r="F130" s="74">
        <f>HLOOKUP(Stats!$B$2,HW!$H$163:$BT$167,5,FALSE)*Taulukko2[[#This Row],[Weight]]</f>
        <v>6</v>
      </c>
    </row>
    <row r="131" spans="1:6" x14ac:dyDescent="0.2">
      <c r="A131" s="74" t="s">
        <v>1825</v>
      </c>
      <c r="B131" s="74">
        <v>1</v>
      </c>
      <c r="C131" s="74">
        <v>3</v>
      </c>
      <c r="D131" s="83" t="s">
        <v>4460</v>
      </c>
      <c r="E131" s="74" t="s">
        <v>4574</v>
      </c>
      <c r="F131" s="74">
        <f>HLOOKUP(Stats!$B$2,HW!$H$163:$BT$167,5,FALSE)*Taulukko2[[#This Row],[Weight]]</f>
        <v>3</v>
      </c>
    </row>
    <row r="132" spans="1:6" x14ac:dyDescent="0.2">
      <c r="A132" s="74" t="s">
        <v>1882</v>
      </c>
      <c r="B132" s="74">
        <v>1</v>
      </c>
      <c r="C132" s="74">
        <v>4</v>
      </c>
      <c r="D132" s="83" t="s">
        <v>4460</v>
      </c>
      <c r="E132" s="74" t="s">
        <v>4578</v>
      </c>
      <c r="F132" s="74">
        <f>HLOOKUP(Stats!$B$2,HW!$H$163:$BT$167,5,FALSE)*Taulukko2[[#This Row],[Weight]]</f>
        <v>4</v>
      </c>
    </row>
    <row r="133" spans="1:6" x14ac:dyDescent="0.2">
      <c r="A133" s="74" t="s">
        <v>1777</v>
      </c>
      <c r="B133" s="74">
        <v>1</v>
      </c>
      <c r="C133" s="74">
        <v>0.75</v>
      </c>
      <c r="D133" s="83" t="s">
        <v>4458</v>
      </c>
      <c r="E133" s="74" t="s">
        <v>4579</v>
      </c>
      <c r="F133" s="74">
        <f>HLOOKUP(Stats!$B$2,HW!$H$163:$BT$167,5,FALSE)*Taulukko2[[#This Row],[Weight]]</f>
        <v>0.75</v>
      </c>
    </row>
    <row r="134" spans="1:6" x14ac:dyDescent="0.2">
      <c r="A134" s="74" t="s">
        <v>4441</v>
      </c>
      <c r="B134" s="74">
        <v>1</v>
      </c>
      <c r="C134" s="74">
        <v>0.75</v>
      </c>
      <c r="D134" s="83" t="s">
        <v>4457</v>
      </c>
      <c r="E134" s="74" t="s">
        <v>4580</v>
      </c>
      <c r="F134" s="74">
        <f>HLOOKUP(Stats!$B$2,HW!$H$163:$BT$167,5,FALSE)*Taulukko2[[#This Row],[Weight]]</f>
        <v>0.75</v>
      </c>
    </row>
    <row r="135" spans="1:6" x14ac:dyDescent="0.2">
      <c r="A135" s="74" t="s">
        <v>4461</v>
      </c>
      <c r="B135" s="74">
        <v>1</v>
      </c>
      <c r="C135" s="74">
        <v>0.75</v>
      </c>
      <c r="D135" s="83" t="s">
        <v>4458</v>
      </c>
      <c r="E135" s="74" t="s">
        <v>4578</v>
      </c>
      <c r="F135" s="74">
        <f>HLOOKUP(Stats!$B$2,HW!$H$163:$BT$167,5,FALSE)*Taulukko2[[#This Row],[Weight]]</f>
        <v>0.75</v>
      </c>
    </row>
    <row r="136" spans="1:6" x14ac:dyDescent="0.2">
      <c r="A136" s="74" t="s">
        <v>1843</v>
      </c>
      <c r="B136" s="74">
        <v>1</v>
      </c>
      <c r="C136" s="74">
        <v>4.25</v>
      </c>
      <c r="D136" s="83" t="s">
        <v>4457</v>
      </c>
      <c r="E136" s="74" t="s">
        <v>4579</v>
      </c>
      <c r="F136" s="74">
        <f>HLOOKUP(Stats!$B$2,HW!$H$163:$BT$167,5,FALSE)*Taulukko2[[#This Row],[Weight]]</f>
        <v>4.25</v>
      </c>
    </row>
    <row r="137" spans="1:6" x14ac:dyDescent="0.2">
      <c r="A137" s="74" t="s">
        <v>1816</v>
      </c>
      <c r="B137" s="74">
        <v>1</v>
      </c>
      <c r="C137" s="74">
        <v>6</v>
      </c>
      <c r="D137" s="83" t="s">
        <v>4462</v>
      </c>
      <c r="E137" s="74" t="s">
        <v>4581</v>
      </c>
      <c r="F137" s="74">
        <f>HLOOKUP(Stats!$B$2,HW!$H$163:$BT$167,5,FALSE)*Taulukko2[[#This Row],[Weight]]</f>
        <v>6</v>
      </c>
    </row>
    <row r="138" spans="1:6" x14ac:dyDescent="0.2">
      <c r="A138" s="74" t="s">
        <v>1846</v>
      </c>
      <c r="B138" s="74">
        <v>1</v>
      </c>
      <c r="C138" s="74">
        <v>2.75</v>
      </c>
      <c r="D138" s="83" t="s">
        <v>4460</v>
      </c>
      <c r="E138" s="74" t="s">
        <v>4582</v>
      </c>
      <c r="F138" s="74">
        <f>HLOOKUP(Stats!$B$2,HW!$H$163:$BT$167,5,FALSE)*Taulukko2[[#This Row],[Weight]]</f>
        <v>2.75</v>
      </c>
    </row>
    <row r="139" spans="1:6" x14ac:dyDescent="0.2">
      <c r="A139" s="74" t="s">
        <v>4442</v>
      </c>
      <c r="B139" s="74">
        <v>1</v>
      </c>
      <c r="C139" s="74">
        <v>7.5</v>
      </c>
      <c r="D139" s="83" t="s">
        <v>4459</v>
      </c>
      <c r="E139" s="74" t="s">
        <v>4571</v>
      </c>
      <c r="F139" s="74">
        <f>HLOOKUP(Stats!$B$2,HW!$H$163:$BT$167,5,FALSE)*Taulukko2[[#This Row],[Weight]]</f>
        <v>7.5</v>
      </c>
    </row>
    <row r="140" spans="1:6" x14ac:dyDescent="0.2">
      <c r="A140" s="74" t="s">
        <v>4443</v>
      </c>
      <c r="B140" s="74">
        <v>1</v>
      </c>
      <c r="C140" s="74">
        <v>5</v>
      </c>
      <c r="D140" s="83" t="s">
        <v>4456</v>
      </c>
      <c r="E140" s="74" t="s">
        <v>4571</v>
      </c>
      <c r="F140" s="74">
        <f>HLOOKUP(Stats!$B$2,HW!$H$163:$BT$167,5,FALSE)*Taulukko2[[#This Row],[Weight]]</f>
        <v>5</v>
      </c>
    </row>
    <row r="141" spans="1:6" x14ac:dyDescent="0.2">
      <c r="A141" s="74" t="s">
        <v>1800</v>
      </c>
      <c r="B141" s="74">
        <v>1</v>
      </c>
      <c r="C141" s="74">
        <v>7</v>
      </c>
      <c r="D141" s="83" t="s">
        <v>4456</v>
      </c>
      <c r="E141" s="74" t="s">
        <v>4574</v>
      </c>
      <c r="F141" s="74">
        <f>HLOOKUP(Stats!$B$2,HW!$H$163:$BT$167,5,FALSE)*Taulukko2[[#This Row],[Weight]]</f>
        <v>7</v>
      </c>
    </row>
    <row r="142" spans="1:6" x14ac:dyDescent="0.2">
      <c r="A142" s="74" t="s">
        <v>1798</v>
      </c>
      <c r="B142" s="74">
        <v>1</v>
      </c>
      <c r="C142" s="74">
        <v>4</v>
      </c>
      <c r="D142" s="83" t="s">
        <v>4456</v>
      </c>
      <c r="E142" s="74" t="s">
        <v>4580</v>
      </c>
      <c r="F142" s="74">
        <f>HLOOKUP(Stats!$B$2,HW!$H$163:$BT$167,5,FALSE)*Taulukko2[[#This Row],[Weight]]</f>
        <v>4</v>
      </c>
    </row>
    <row r="143" spans="1:6" x14ac:dyDescent="0.2">
      <c r="A143" s="74" t="s">
        <v>4444</v>
      </c>
      <c r="B143" s="74">
        <v>1</v>
      </c>
      <c r="C143" s="74">
        <v>4.25</v>
      </c>
      <c r="D143" s="83" t="s">
        <v>4460</v>
      </c>
      <c r="E143" s="74" t="s">
        <v>4574</v>
      </c>
      <c r="F143" s="74">
        <f>HLOOKUP(Stats!$B$2,HW!$H$163:$BT$167,5,FALSE)*Taulukko2[[#This Row],[Weight]]</f>
        <v>4.25</v>
      </c>
    </row>
    <row r="144" spans="1:6" x14ac:dyDescent="0.2">
      <c r="A144" s="74" t="s">
        <v>1848</v>
      </c>
      <c r="B144" s="74">
        <v>1</v>
      </c>
      <c r="C144" s="74">
        <v>5</v>
      </c>
      <c r="D144" s="83" t="s">
        <v>4460</v>
      </c>
      <c r="E144" s="74" t="s">
        <v>4583</v>
      </c>
      <c r="F144" s="74">
        <f>HLOOKUP(Stats!$B$2,HW!$H$163:$BT$167,5,FALSE)*Taulukko2[[#This Row],[Weight]]</f>
        <v>5</v>
      </c>
    </row>
    <row r="145" spans="1:6" x14ac:dyDescent="0.2">
      <c r="A145" s="74" t="s">
        <v>1807</v>
      </c>
      <c r="B145" s="74">
        <v>1</v>
      </c>
      <c r="C145" s="74">
        <v>13.5</v>
      </c>
      <c r="D145" s="83" t="s">
        <v>4459</v>
      </c>
      <c r="E145" s="74" t="s">
        <v>4584</v>
      </c>
      <c r="F145" s="74">
        <f>HLOOKUP(Stats!$B$2,HW!$H$163:$BT$167,5,FALSE)*Taulukko2[[#This Row],[Weight]]</f>
        <v>13.5</v>
      </c>
    </row>
    <row r="146" spans="1:6" x14ac:dyDescent="0.2">
      <c r="A146" s="74" t="s">
        <v>4445</v>
      </c>
      <c r="B146" s="74">
        <v>1</v>
      </c>
      <c r="C146" s="74">
        <v>3.5</v>
      </c>
      <c r="D146" s="83" t="s">
        <v>4464</v>
      </c>
      <c r="E146" s="74" t="s">
        <v>4585</v>
      </c>
      <c r="F146" s="74">
        <f>HLOOKUP(Stats!$B$2,HW!$H$163:$BT$167,5,FALSE)*Taulukko2[[#This Row],[Weight]]</f>
        <v>3.5</v>
      </c>
    </row>
    <row r="147" spans="1:6" x14ac:dyDescent="0.2">
      <c r="A147" s="74" t="s">
        <v>1811</v>
      </c>
      <c r="B147" s="74">
        <v>1</v>
      </c>
      <c r="C147" s="74">
        <v>2.5</v>
      </c>
      <c r="D147" s="83" t="s">
        <v>4457</v>
      </c>
      <c r="E147" s="74" t="s">
        <v>4573</v>
      </c>
      <c r="F147" s="74">
        <f>HLOOKUP(Stats!$B$2,HW!$H$163:$BT$167,5,FALSE)*Taulukko2[[#This Row],[Weight]]</f>
        <v>2.5</v>
      </c>
    </row>
    <row r="148" spans="1:6" x14ac:dyDescent="0.2">
      <c r="A148" s="74" t="s">
        <v>1806</v>
      </c>
      <c r="B148" s="74">
        <v>1</v>
      </c>
      <c r="C148" s="74">
        <v>6.25</v>
      </c>
      <c r="D148" s="83" t="s">
        <v>4456</v>
      </c>
      <c r="E148" s="74" t="s">
        <v>4586</v>
      </c>
      <c r="F148" s="74">
        <f>HLOOKUP(Stats!$B$2,HW!$H$163:$BT$167,5,FALSE)*Taulukko2[[#This Row],[Weight]]</f>
        <v>6.25</v>
      </c>
    </row>
    <row r="149" spans="1:6" x14ac:dyDescent="0.2">
      <c r="A149" s="74" t="s">
        <v>1805</v>
      </c>
      <c r="B149" s="74">
        <v>1</v>
      </c>
      <c r="C149" s="74">
        <v>6.25</v>
      </c>
      <c r="D149" s="83" t="s">
        <v>4465</v>
      </c>
      <c r="E149" s="74" t="s">
        <v>4587</v>
      </c>
      <c r="F149" s="74">
        <f>HLOOKUP(Stats!$B$2,HW!$H$163:$BT$167,5,FALSE)*Taulukko2[[#This Row],[Weight]]</f>
        <v>6.25</v>
      </c>
    </row>
    <row r="150" spans="1:6" x14ac:dyDescent="0.2">
      <c r="A150" s="74" t="s">
        <v>1847</v>
      </c>
      <c r="B150" s="74">
        <v>1</v>
      </c>
      <c r="C150" s="74">
        <v>1.5</v>
      </c>
      <c r="D150" s="83" t="s">
        <v>4465</v>
      </c>
      <c r="E150" s="74" t="s">
        <v>4581</v>
      </c>
      <c r="F150" s="74">
        <f>HLOOKUP(Stats!$B$2,HW!$H$163:$BT$167,5,FALSE)*Taulukko2[[#This Row],[Weight]]</f>
        <v>1.5</v>
      </c>
    </row>
    <row r="151" spans="1:6" x14ac:dyDescent="0.2">
      <c r="A151" s="74" t="s">
        <v>1820</v>
      </c>
      <c r="B151" s="74">
        <v>1</v>
      </c>
      <c r="C151" s="74">
        <v>6</v>
      </c>
      <c r="D151" s="83" t="s">
        <v>4462</v>
      </c>
      <c r="E151" s="74" t="s">
        <v>4571</v>
      </c>
      <c r="F151" s="74">
        <f>HLOOKUP(Stats!$B$2,HW!$H$163:$BT$167,5,FALSE)*Taulukko2[[#This Row],[Weight]]</f>
        <v>6</v>
      </c>
    </row>
    <row r="152" spans="1:6" x14ac:dyDescent="0.2">
      <c r="A152" s="74" t="s">
        <v>4446</v>
      </c>
      <c r="B152" s="74">
        <v>1</v>
      </c>
      <c r="C152" s="74">
        <v>4</v>
      </c>
      <c r="D152" s="83" t="s">
        <v>4462</v>
      </c>
      <c r="E152" s="74" t="s">
        <v>4576</v>
      </c>
      <c r="F152" s="74">
        <f>HLOOKUP(Stats!$B$2,HW!$H$163:$BT$167,5,FALSE)*Taulukko2[[#This Row],[Weight]]</f>
        <v>4</v>
      </c>
    </row>
    <row r="153" spans="1:6" x14ac:dyDescent="0.2">
      <c r="A153" s="74" t="s">
        <v>4447</v>
      </c>
      <c r="B153" s="74">
        <v>1</v>
      </c>
      <c r="C153" s="74">
        <v>3</v>
      </c>
      <c r="D153" s="83" t="s">
        <v>4457</v>
      </c>
      <c r="E153" s="74" t="s">
        <v>4576</v>
      </c>
      <c r="F153" s="74">
        <f>HLOOKUP(Stats!$B$2,HW!$H$163:$BT$167,5,FALSE)*Taulukko2[[#This Row],[Weight]]</f>
        <v>3</v>
      </c>
    </row>
    <row r="154" spans="1:6" x14ac:dyDescent="0.2">
      <c r="A154" s="74" t="s">
        <v>4448</v>
      </c>
      <c r="B154" s="74">
        <v>1</v>
      </c>
      <c r="C154" s="74">
        <v>7</v>
      </c>
      <c r="D154" s="83" t="s">
        <v>4457</v>
      </c>
      <c r="E154" s="74" t="s">
        <v>4570</v>
      </c>
      <c r="F154" s="74">
        <f>HLOOKUP(Stats!$B$2,HW!$H$163:$BT$167,5,FALSE)*Taulukko2[[#This Row],[Weight]]</f>
        <v>7</v>
      </c>
    </row>
    <row r="155" spans="1:6" x14ac:dyDescent="0.2">
      <c r="A155" s="74" t="s">
        <v>4449</v>
      </c>
      <c r="B155" s="74">
        <v>1</v>
      </c>
      <c r="C155" s="74">
        <v>1.5</v>
      </c>
      <c r="D155" s="83" t="s">
        <v>4459</v>
      </c>
      <c r="E155" s="74" t="s">
        <v>4574</v>
      </c>
      <c r="F155" s="74">
        <f>HLOOKUP(Stats!$B$2,HW!$H$163:$BT$167,5,FALSE)*Taulukko2[[#This Row],[Weight]]</f>
        <v>1.5</v>
      </c>
    </row>
    <row r="156" spans="1:6" x14ac:dyDescent="0.2">
      <c r="A156" s="74" t="s">
        <v>4450</v>
      </c>
      <c r="B156" s="74">
        <v>1</v>
      </c>
      <c r="C156" s="74">
        <v>5</v>
      </c>
      <c r="D156" s="83" t="s">
        <v>4464</v>
      </c>
      <c r="E156" s="74" t="s">
        <v>4574</v>
      </c>
      <c r="F156" s="74">
        <f>HLOOKUP(Stats!$B$2,HW!$H$163:$BT$167,5,FALSE)*Taulukko2[[#This Row],[Weight]]</f>
        <v>5</v>
      </c>
    </row>
    <row r="157" spans="1:6" x14ac:dyDescent="0.2">
      <c r="A157" s="74" t="s">
        <v>1838</v>
      </c>
      <c r="B157" s="74">
        <v>1</v>
      </c>
      <c r="C157" s="74">
        <v>5.5</v>
      </c>
      <c r="D157" s="83" t="s">
        <v>4457</v>
      </c>
      <c r="E157" s="74" t="s">
        <v>4580</v>
      </c>
      <c r="F157" s="74">
        <f>HLOOKUP(Stats!$B$2,HW!$H$163:$BT$167,5,FALSE)*Taulukko2[[#This Row],[Weight]]</f>
        <v>5.5</v>
      </c>
    </row>
    <row r="158" spans="1:6" x14ac:dyDescent="0.2">
      <c r="A158" s="74" t="s">
        <v>1818</v>
      </c>
      <c r="B158" s="74">
        <v>1</v>
      </c>
      <c r="C158" s="74">
        <v>4</v>
      </c>
      <c r="D158" s="83" t="s">
        <v>4460</v>
      </c>
      <c r="E158" s="74" t="s">
        <v>4588</v>
      </c>
      <c r="F158" s="74">
        <f>HLOOKUP(Stats!$B$2,HW!$H$163:$BT$167,5,FALSE)*Taulukko2[[#This Row],[Weight]]</f>
        <v>4</v>
      </c>
    </row>
    <row r="159" spans="1:6" x14ac:dyDescent="0.2">
      <c r="A159" s="74" t="s">
        <v>1850</v>
      </c>
      <c r="B159" s="74">
        <v>1</v>
      </c>
      <c r="C159" s="74">
        <v>1.75</v>
      </c>
      <c r="D159" s="83" t="s">
        <v>4456</v>
      </c>
      <c r="E159" s="74" t="s">
        <v>4589</v>
      </c>
      <c r="F159" s="74">
        <f>HLOOKUP(Stats!$B$2,HW!$H$163:$BT$167,5,FALSE)*Taulukko2[[#This Row],[Weight]]</f>
        <v>1.75</v>
      </c>
    </row>
    <row r="160" spans="1:6" x14ac:dyDescent="0.2">
      <c r="A160" s="74" t="s">
        <v>1837</v>
      </c>
      <c r="B160" s="74">
        <v>1</v>
      </c>
      <c r="C160" s="74">
        <v>3.5</v>
      </c>
      <c r="D160" s="83" t="s">
        <v>4460</v>
      </c>
      <c r="E160" s="74" t="s">
        <v>4586</v>
      </c>
      <c r="F160" s="74">
        <f>HLOOKUP(Stats!$B$2,HW!$H$163:$BT$167,5,FALSE)*Taulukko2[[#This Row],[Weight]]</f>
        <v>3.5</v>
      </c>
    </row>
    <row r="161" spans="1:6" x14ac:dyDescent="0.2">
      <c r="A161" s="74" t="s">
        <v>4451</v>
      </c>
      <c r="B161" s="74">
        <v>1</v>
      </c>
      <c r="C161" s="74">
        <v>3</v>
      </c>
      <c r="D161" s="83" t="s">
        <v>4465</v>
      </c>
      <c r="E161" s="74" t="s">
        <v>4586</v>
      </c>
      <c r="F161" s="74">
        <f>HLOOKUP(Stats!$B$2,HW!$H$163:$BT$167,5,FALSE)*Taulukko2[[#This Row],[Weight]]</f>
        <v>3</v>
      </c>
    </row>
    <row r="162" spans="1:6" x14ac:dyDescent="0.2">
      <c r="A162" s="74" t="s">
        <v>1796</v>
      </c>
      <c r="B162" s="74">
        <v>1</v>
      </c>
      <c r="C162" s="74">
        <v>4</v>
      </c>
      <c r="D162" s="83" t="s">
        <v>4456</v>
      </c>
      <c r="E162" s="74" t="s">
        <v>4590</v>
      </c>
      <c r="F162" s="74">
        <f>HLOOKUP(Stats!$B$2,HW!$H$163:$BT$167,5,FALSE)*Taulukko2[[#This Row],[Weight]]</f>
        <v>4</v>
      </c>
    </row>
    <row r="163" spans="1:6" x14ac:dyDescent="0.2">
      <c r="A163" s="74" t="s">
        <v>1799</v>
      </c>
      <c r="B163" s="74">
        <v>1</v>
      </c>
      <c r="C163" s="74">
        <v>2.5</v>
      </c>
      <c r="D163" s="83" t="s">
        <v>4456</v>
      </c>
      <c r="E163" s="74" t="s">
        <v>4573</v>
      </c>
      <c r="F163" s="74">
        <f>HLOOKUP(Stats!$B$2,HW!$H$163:$BT$167,5,FALSE)*Taulukko2[[#This Row],[Weight]]</f>
        <v>2.5</v>
      </c>
    </row>
    <row r="164" spans="1:6" x14ac:dyDescent="0.2">
      <c r="A164" s="74" t="s">
        <v>1804</v>
      </c>
      <c r="B164" s="74">
        <v>1</v>
      </c>
      <c r="C164" s="74">
        <v>3</v>
      </c>
      <c r="D164" s="83" t="s">
        <v>4465</v>
      </c>
      <c r="E164" s="74" t="s">
        <v>4579</v>
      </c>
      <c r="F164" s="74">
        <f>HLOOKUP(Stats!$B$2,HW!$H$163:$BT$167,5,FALSE)*Taulukko2[[#This Row],[Weight]]</f>
        <v>3</v>
      </c>
    </row>
    <row r="165" spans="1:6" x14ac:dyDescent="0.2">
      <c r="A165" s="74" t="s">
        <v>4452</v>
      </c>
      <c r="B165" s="74">
        <v>1</v>
      </c>
      <c r="C165" s="74">
        <v>0.5</v>
      </c>
      <c r="D165" s="83" t="s">
        <v>4457</v>
      </c>
      <c r="E165" s="74" t="s">
        <v>4591</v>
      </c>
      <c r="F165" s="74">
        <f>HLOOKUP(Stats!$B$2,HW!$H$163:$BT$167,5,FALSE)*Taulukko2[[#This Row],[Weight]]</f>
        <v>0.5</v>
      </c>
    </row>
    <row r="166" spans="1:6" x14ac:dyDescent="0.2">
      <c r="A166" s="74" t="s">
        <v>1814</v>
      </c>
      <c r="B166" s="74">
        <v>1</v>
      </c>
      <c r="C166" s="74">
        <v>0.75</v>
      </c>
      <c r="D166" s="83" t="s">
        <v>4464</v>
      </c>
      <c r="E166" s="74" t="s">
        <v>4573</v>
      </c>
      <c r="F166" s="74">
        <f>HLOOKUP(Stats!$B$2,HW!$H$163:$BT$167,5,FALSE)*Taulukko2[[#This Row],[Weight]]</f>
        <v>0.75</v>
      </c>
    </row>
    <row r="167" spans="1:6" x14ac:dyDescent="0.2">
      <c r="A167" s="74" t="s">
        <v>1809</v>
      </c>
      <c r="B167" s="74">
        <v>1</v>
      </c>
      <c r="C167" s="74">
        <v>5.5</v>
      </c>
      <c r="D167" s="83" t="s">
        <v>4457</v>
      </c>
      <c r="E167" s="74" t="s">
        <v>4574</v>
      </c>
      <c r="F167" s="74">
        <f>HLOOKUP(Stats!$B$2,HW!$H$163:$BT$167,5,FALSE)*Taulukko2[[#This Row],[Weight]]</f>
        <v>5.5</v>
      </c>
    </row>
    <row r="168" spans="1:6" x14ac:dyDescent="0.2">
      <c r="A168" s="74" t="s">
        <v>4453</v>
      </c>
      <c r="B168" s="74">
        <v>1</v>
      </c>
      <c r="C168" s="74">
        <v>3</v>
      </c>
      <c r="D168" s="83" t="s">
        <v>4465</v>
      </c>
      <c r="E168" s="74" t="s">
        <v>4574</v>
      </c>
      <c r="F168" s="74">
        <f>HLOOKUP(Stats!$B$2,HW!$H$163:$BT$167,5,FALSE)*Taulukko2[[#This Row],[Weight]]</f>
        <v>3</v>
      </c>
    </row>
    <row r="169" spans="1:6" x14ac:dyDescent="0.2">
      <c r="A169" s="74" t="s">
        <v>4454</v>
      </c>
      <c r="B169" s="74">
        <v>1</v>
      </c>
      <c r="C169" s="74">
        <v>3.5</v>
      </c>
      <c r="D169" s="83" t="s">
        <v>4456</v>
      </c>
      <c r="E169" s="74" t="s">
        <v>4574</v>
      </c>
      <c r="F169" s="74">
        <f>HLOOKUP(Stats!$B$2,HW!$H$163:$BT$167,5,FALSE)*Taulukko2[[#This Row],[Weight]]</f>
        <v>3.5</v>
      </c>
    </row>
    <row r="170" spans="1:6" x14ac:dyDescent="0.2">
      <c r="A170" s="74" t="s">
        <v>1824</v>
      </c>
      <c r="B170" s="74">
        <v>1</v>
      </c>
      <c r="C170" s="74">
        <v>5</v>
      </c>
      <c r="D170" s="83" t="s">
        <v>4457</v>
      </c>
      <c r="E170" s="74" t="s">
        <v>4580</v>
      </c>
      <c r="F170" s="74">
        <f>HLOOKUP(Stats!$B$2,HW!$H$163:$BT$167,5,FALSE)*Taulukko2[[#This Row],[Weight]]</f>
        <v>5</v>
      </c>
    </row>
    <row r="171" spans="1:6" x14ac:dyDescent="0.2">
      <c r="A171" s="74" t="s">
        <v>4455</v>
      </c>
      <c r="B171" s="74">
        <v>1</v>
      </c>
      <c r="C171" s="74">
        <v>8.5</v>
      </c>
      <c r="D171" s="83" t="s">
        <v>4457</v>
      </c>
      <c r="E171" s="74" t="s">
        <v>4592</v>
      </c>
      <c r="F171" s="74">
        <f>HLOOKUP(Stats!$B$2,HW!$H$163:$BT$167,5,FALSE)*Taulukko2[[#This Row],[Weight]]</f>
        <v>8.5</v>
      </c>
    </row>
    <row r="172" spans="1:6" x14ac:dyDescent="0.2">
      <c r="A172" s="74" t="s">
        <v>1812</v>
      </c>
      <c r="B172" s="74">
        <v>1</v>
      </c>
      <c r="C172" s="74">
        <v>5.5</v>
      </c>
      <c r="D172" s="83" t="s">
        <v>4456</v>
      </c>
      <c r="E172" s="74" t="s">
        <v>4587</v>
      </c>
      <c r="F172" s="74">
        <f>HLOOKUP(Stats!$B$2,HW!$H$163:$BT$167,5,FALSE)*Taulukko2[[#This Row],[Weight]]</f>
        <v>5.5</v>
      </c>
    </row>
    <row r="173" spans="1:6" x14ac:dyDescent="0.2">
      <c r="A173" s="74" t="s">
        <v>1827</v>
      </c>
      <c r="B173" s="74">
        <v>1</v>
      </c>
      <c r="C173" s="74">
        <v>6</v>
      </c>
      <c r="D173" s="83" t="s">
        <v>4464</v>
      </c>
      <c r="E173" s="74" t="s">
        <v>4571</v>
      </c>
      <c r="F173" s="74">
        <f>HLOOKUP(Stats!$B$2,HW!$H$163:$BT$167,5,FALSE)*Taulukko2[[#This Row],[Weight]]</f>
        <v>6</v>
      </c>
    </row>
    <row r="174" spans="1:6" x14ac:dyDescent="0.2">
      <c r="A174" s="74" t="s">
        <v>1821</v>
      </c>
      <c r="B174" s="74">
        <v>1</v>
      </c>
      <c r="C174" s="74">
        <v>3.5</v>
      </c>
      <c r="D174" s="83" t="s">
        <v>4464</v>
      </c>
      <c r="E174" s="74" t="s">
        <v>4593</v>
      </c>
      <c r="F174" s="74">
        <f>HLOOKUP(Stats!$B$2,HW!$H$163:$BT$167,5,FALSE)*Taulukko2[[#This Row],[Weight]]</f>
        <v>3.5</v>
      </c>
    </row>
  </sheetData>
  <dataValidations count="1">
    <dataValidation showInputMessage="1" showErrorMessage="1" sqref="D107:D114 D81:D82 D93:D103 E1:E174 C1:D79 A1:B174" xr:uid="{C19438CF-5D54-427D-8BCE-4498A46A2173}"/>
  </dataValidations>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FE9E4CF164A90A49AA90A586CC703EBE" ma:contentTypeVersion="13" ma:contentTypeDescription="Create a new document." ma:contentTypeScope="" ma:versionID="a8c8d2127eb574e97d810f946fc00382">
  <xsd:schema xmlns:xsd="http://www.w3.org/2001/XMLSchema" xmlns:xs="http://www.w3.org/2001/XMLSchema" xmlns:p="http://schemas.microsoft.com/office/2006/metadata/properties" xmlns:ns3="58b338f1-f02b-49be-a54b-a43554de4406" xmlns:ns4="ff78ae05-feb3-4e85-ab46-ce93a1fb522a" targetNamespace="http://schemas.microsoft.com/office/2006/metadata/properties" ma:root="true" ma:fieldsID="93ee155a42bd87f307ba9d154b823858" ns3:_="" ns4:_="">
    <xsd:import namespace="58b338f1-f02b-49be-a54b-a43554de4406"/>
    <xsd:import namespace="ff78ae05-feb3-4e85-ab46-ce93a1fb522a"/>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DateTaken" minOccurs="0"/>
                <xsd:element ref="ns3:MediaServiceOCR" minOccurs="0"/>
                <xsd:element ref="ns3:MediaServiceLocation" minOccurs="0"/>
                <xsd:element ref="ns3:MediaServiceGenerationTime" minOccurs="0"/>
                <xsd:element ref="ns3:MediaServiceEventHashCode" minOccurs="0"/>
                <xsd:element ref="ns4:SharedWithUsers" minOccurs="0"/>
                <xsd:element ref="ns4:SharedWithDetails" minOccurs="0"/>
                <xsd:element ref="ns4:SharingHintHash"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8b338f1-f02b-49be-a54b-a43554de440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DateTaken" ma:index="11" nillable="true" ma:displayName="MediaServiceDateTaken" ma:hidden="true" ma:internalName="MediaServiceDateTaken" ma:readOnly="true">
      <xsd:simpleType>
        <xsd:restriction base="dms:Text"/>
      </xsd:simpleType>
    </xsd:element>
    <xsd:element name="MediaServiceOCR" ma:index="12" nillable="true" ma:displayName="MediaServiceOCR" ma:internalName="MediaServiceOCR" ma:readOnly="true">
      <xsd:simpleType>
        <xsd:restriction base="dms:Note">
          <xsd:maxLength value="255"/>
        </xsd:restriction>
      </xsd:simpleType>
    </xsd:element>
    <xsd:element name="MediaServiceLocation" ma:index="13" nillable="true" ma:displayName="MediaServic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f78ae05-feb3-4e85-ab46-ce93a1fb522a"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SharingHintHash" ma:index="18"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3499CCD-87D7-4985-A01E-4CA921E84AFD}">
  <ds:schemaRefs>
    <ds:schemaRef ds:uri="http://purl.org/dc/elements/1.1/"/>
    <ds:schemaRef ds:uri="http://schemas.microsoft.com/office/infopath/2007/PartnerControls"/>
    <ds:schemaRef ds:uri="58b338f1-f02b-49be-a54b-a43554de4406"/>
    <ds:schemaRef ds:uri="http://purl.org/dc/terms/"/>
    <ds:schemaRef ds:uri="http://schemas.microsoft.com/office/2006/metadata/properties"/>
    <ds:schemaRef ds:uri="ff78ae05-feb3-4e85-ab46-ce93a1fb522a"/>
    <ds:schemaRef ds:uri="http://schemas.microsoft.com/office/2006/documentManagement/types"/>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1A3EB9DD-47C7-4018-BF5C-10F79924889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8b338f1-f02b-49be-a54b-a43554de4406"/>
    <ds:schemaRef ds:uri="ff78ae05-feb3-4e85-ab46-ce93a1fb522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2EB93F7-07FF-4CAE-AA13-5FD5CE1D594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Laskentataulukot</vt:lpstr>
      </vt:variant>
      <vt:variant>
        <vt:i4>12</vt:i4>
      </vt:variant>
      <vt:variant>
        <vt:lpstr>Nimetyt alueet</vt:lpstr>
      </vt:variant>
      <vt:variant>
        <vt:i4>9</vt:i4>
      </vt:variant>
    </vt:vector>
  </HeadingPairs>
  <TitlesOfParts>
    <vt:vector size="21" baseType="lpstr">
      <vt:lpstr>Changelog</vt:lpstr>
      <vt:lpstr>Ohjeet</vt:lpstr>
      <vt:lpstr>Stats</vt:lpstr>
      <vt:lpstr>Skills</vt:lpstr>
      <vt:lpstr>Professions</vt:lpstr>
      <vt:lpstr>Races</vt:lpstr>
      <vt:lpstr>HW</vt:lpstr>
      <vt:lpstr>TF</vt:lpstr>
      <vt:lpstr>EQ</vt:lpstr>
      <vt:lpstr>RC</vt:lpstr>
      <vt:lpstr>Racial Talents</vt:lpstr>
      <vt:lpstr>Taul1</vt:lpstr>
      <vt:lpstr>Alignment</vt:lpstr>
      <vt:lpstr>Flaws</vt:lpstr>
      <vt:lpstr>Powers</vt:lpstr>
      <vt:lpstr>Professions</vt:lpstr>
      <vt:lpstr>Talents</vt:lpstr>
      <vt:lpstr>TPs</vt:lpstr>
      <vt:lpstr>Ohjeet!Tulostusalue</vt:lpstr>
      <vt:lpstr>Skills!Tulostusalue</vt:lpstr>
      <vt:lpstr>Stats!Tulostusalue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M.K</dc:creator>
  <cp:lastModifiedBy>Kakkonen Mikko</cp:lastModifiedBy>
  <cp:lastPrinted>2018-08-03T12:48:52Z</cp:lastPrinted>
  <dcterms:created xsi:type="dcterms:W3CDTF">2014-12-07T19:59:07Z</dcterms:created>
  <dcterms:modified xsi:type="dcterms:W3CDTF">2023-09-11T07:58:18Z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0x010100FE9E4CF164A90A49AA90A586CC703EBE</vt:lpwstr>
  </property>
</Properties>
</file>